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0" yWindow="0" windowWidth="49035" windowHeight="324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<sst xmlns="http://schemas.openxmlformats.org/spreadsheetml/2006/main" count="27473" uniqueCount="3632">
  <si>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</si>
  <si>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</si>
  <si>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</si>
  <si>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</si>
  <si>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</si>
  <si>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</si>
  <si>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</si>
  <si>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</si>
  <si>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</si>
  <si>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</si>
  <si>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</si>
  <si>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</si>
  <si>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</si>
  <si>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</si>
  <si>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</si>
  <si>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</si>
  <si>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</si>
  <si>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</si>
  <si>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</si>
  <si>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</si>
  <si>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</si>
  <si>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</si>
  <si>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</si>
  <si>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</si>
  <si>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</si>
  <si>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</si>
  <si>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</si>
  <si>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</si>
  <si>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</si>
  <si>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</si>
  <si>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</si>
  <si>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</si>
  <si>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</si>
  <si>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</si>
  <si>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</si>
  <si>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</si>
  <si>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</si>
  <si>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</si>
  <si>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</si>
  <si>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</si>
  <si>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</si>
  <si>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</si>
  <si>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</si>
  <si>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</si>
  <si>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</si>
  <si>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</si>
  <si>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</si>
  <si>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</si>
  <si>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</si>
  <si>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</si>
  <si>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</si>
  <si>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</si>
  <si>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</si>
  <si>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</si>
  <si>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</si>
  <si>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</si>
  <si>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</si>
  <si>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</si>
  <si>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</si>
  <si>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</si>
  <si>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</si>
  <si>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</si>
  <si>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</si>
  <si>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</si>
  <si>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</si>
  <si>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</si>
  <si>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</si>
  <si>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</si>
  <si>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</si>
  <si>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</si>
  <si>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</si>
  <si>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</si>
  <si>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</si>
  <si>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</si>
  <si>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</si>
  <si>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</si>
  <si>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</si>
  <si>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</si>
  <si>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</si>
  <si>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</si>
  <si>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</si>
  <si>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</si>
  <si>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</si>
  <si>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</si>
  <si>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</si>
  <si>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</si>
  <si>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</si>
  <si>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</si>
  <si>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</si>
  <si>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</si>
  <si>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</si>
  <si>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</si>
  <si>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</si>
  <si>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</si>
  <si>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</si>
  <si>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</si>
  <si>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</si>
  <si>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</si>
  <si>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</si>
  <si>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</si>
  <si>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</si>
  <si>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</si>
  <si>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</si>
  <si>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</si>
  <si>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</si>
  <si>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</si>
  <si>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</si>
  <si>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</si>
  <si>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</si>
  <si>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</si>
  <si>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</si>
  <si>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</si>
  <si>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</si>
  <si>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</si>
  <si>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</si>
  <si>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</si>
  <si>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</si>
  <si>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</si>
  <si>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</si>
  <si>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</si>
  <si>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</si>
  <si>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</si>
  <si>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</si>
  <si>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</si>
  <si>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</si>
  <si>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</si>
  <si>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</si>
  <si>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</si>
  <si>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</si>
  <si>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</si>
  <si>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</si>
  <si>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</si>
  <si>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</si>
  <si>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</si>
  <si>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</si>
  <si>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</si>
  <si>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</si>
  <si>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</si>
  <si>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</si>
  <si>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</si>
  <si>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</si>
  <si>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</si>
  <si>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</si>
  <si>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</si>
  <si>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</si>
  <si>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</si>
  <si>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</si>
  <si>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</si>
  <si>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</si>
  <si>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</si>
  <si>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</si>
  <si>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</si>
  <si>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</si>
  <si>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</si>
  <si>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</si>
  <si>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</si>
  <si>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</si>
  <si>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</si>
  <si>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</si>
  <si>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</si>
  <si>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</si>
  <si>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</si>
  <si>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</si>
  <si>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</si>
  <si>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</si>
  <si>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</si>
  <si>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</si>
  <si>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</si>
  <si>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</si>
  <si>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</si>
  <si>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</si>
  <si>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</si>
  <si>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</si>
  <si>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</si>
  <si>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</si>
  <si>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</si>
  <si>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</si>
  <si>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</si>
  <si>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</si>
  <si>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</si>
  <si>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</si>
  <si>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</si>
  <si>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</si>
  <si>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</si>
  <si>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</si>
  <si>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</si>
  <si>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</si>
  <si>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</si>
  <si>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</si>
  <si>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</si>
  <si>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</si>
  <si>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</si>
  <si>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t>
  </si>
  <si>
    <t>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t>
  </si>
  <si>
    <t>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t>
  </si>
  <si>
    <t>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&lt;value&gt;CalculateSentiment░True▓TextColumnIsOnEdgeWorksheet░False▓TextColumnName░Description▓CountByGroup░True▓SkipSingleTerms░True▓WordsToSkip░a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t>
  </si>
  <si>
    <t xml:space="preserve">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t>
  </si>
  <si>
    <t xml:space="preserve">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t>
  </si>
  <si>
    <t>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t>
  </si>
  <si>
    <t>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t>
  </si>
  <si>
    <t>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t>
  </si>
  <si>
    <t>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t>
  </si>
  <si>
    <t>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t>
  </si>
  <si>
    <t xml:space="preserve">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t>
  </si>
  <si>
    <t>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
  </si>
  <si>
    <t>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t>
  </si>
  <si>
    <t>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Video1 Comment&lt;/ColumnName&gt;
                &lt;Delimiter&gt;None&lt;/Delimiter&gt;
              &lt;/NetworkTopItemsUserSettings&gt;
              &lt;NetworkTopItemsUserSettings&gt;
                &lt;NumberOfItemsToGet&gt;10&lt;/NumberOfItemsToGet&gt;
                &lt;WorksheetName&gt;Edges&lt;/WorksheetName&gt;
                &lt;TableName&gt;Edges&lt;/TableName&gt;
                &lt;ColumnName&gt;Domains In Video1 Comment&lt;/ColumnName&gt;
                &lt;Delimiter&gt;None&lt;/Delimiter&gt;
              &lt;/NetworkTopItemsUserSettings&gt;
              &lt;NetworkTopItemsUserSettings&gt;
                &lt;NumberOfItemsToGet&gt;10&lt;/NumberOfItemsToGet&gt;
                &lt;WorksheetName&gt;Edges&lt;/WorksheetName&gt;
                &lt;T</t>
  </si>
  <si>
    <t>Autofill Workbook Results</t>
  </si>
  <si>
    <t>Graph History</t>
  </si>
  <si>
    <t>Relationship</t>
  </si>
  <si>
    <t>Shared Commenter</t>
  </si>
  <si>
    <t>Video1 Comment</t>
  </si>
  <si>
    <t>Video2 Comment</t>
  </si>
  <si>
    <t>URLs In Video1 Comment</t>
  </si>
  <si>
    <t>URLs In Video2 Comment</t>
  </si>
  <si>
    <t>Domains In Video1 Comment</t>
  </si>
  <si>
    <t>Domains In Video2 Comment</t>
  </si>
  <si>
    <t>Hashtags In Video1 Comment</t>
  </si>
  <si>
    <t>Hashtags In Video2 Comment</t>
  </si>
  <si>
    <t>URLs In Both Video Comments</t>
  </si>
  <si>
    <t>Domains In Both Video Comments</t>
  </si>
  <si>
    <t>Hashtags In Both Video Comments</t>
  </si>
  <si>
    <t>ElIdKs4dbYs</t>
  </si>
  <si>
    <t>JqQAFodjYBk</t>
  </si>
  <si>
    <t>rMXwAku-tJ8</t>
  </si>
  <si>
    <t>Hofo1zW5V98</t>
  </si>
  <si>
    <t>5-96URqq-uE</t>
  </si>
  <si>
    <t>rGW7lWYSg64</t>
  </si>
  <si>
    <t>ajlFs92JZ0A</t>
  </si>
  <si>
    <t>yqp6le8_KD4</t>
  </si>
  <si>
    <t>TfqEDPHjK5Y</t>
  </si>
  <si>
    <t>MtSJWWKb7K0</t>
  </si>
  <si>
    <t>k2w5CVgw-aE</t>
  </si>
  <si>
    <t>M6dBkL6pmvw</t>
  </si>
  <si>
    <t>Ide5Y8XbPgE</t>
  </si>
  <si>
    <t>x8TuG7Or5y8</t>
  </si>
  <si>
    <t>L97N3KUi6Vk</t>
  </si>
  <si>
    <t>L1dEFfar3WY</t>
  </si>
  <si>
    <t>LaMdOM4I9Bs</t>
  </si>
  <si>
    <t>BXQySIaYgb0</t>
  </si>
  <si>
    <t>X3vMHqIFtnM</t>
  </si>
  <si>
    <t>PMW01KBO_R8</t>
  </si>
  <si>
    <t>LlTpLD0whIo</t>
  </si>
  <si>
    <t>qCqsgXyM8_k</t>
  </si>
  <si>
    <t>eTDz3aGc1TQ</t>
  </si>
  <si>
    <t>tpHrMBiQUCA</t>
  </si>
  <si>
    <t>sy6DtXbPzeM</t>
  </si>
  <si>
    <t>rOol_QXrzTQ</t>
  </si>
  <si>
    <t>fNGTWxDZrWY</t>
  </si>
  <si>
    <t>1W0PDmVgplg</t>
  </si>
  <si>
    <t>7uN5CWl2kSg</t>
  </si>
  <si>
    <t>OHPpCpOGbt8</t>
  </si>
  <si>
    <t>K-_qencWHxA</t>
  </si>
  <si>
    <t>edHXMHxVHj4</t>
  </si>
  <si>
    <t>uRLOYhznCSk</t>
  </si>
  <si>
    <t>MjdQCiob2y0</t>
  </si>
  <si>
    <t>m_JDXNU8tD8</t>
  </si>
  <si>
    <t>ju9bTrePzUY</t>
  </si>
  <si>
    <t>sQ6S7XzvFgw</t>
  </si>
  <si>
    <t>0sqBMrCRQFY</t>
  </si>
  <si>
    <t>cRNcVbT0tQ8</t>
  </si>
  <si>
    <t>7nI3V7z6vZw</t>
  </si>
  <si>
    <t>rPOQqWWVUwY</t>
  </si>
  <si>
    <t>5zmf9MMcyBE</t>
  </si>
  <si>
    <t>ANixUoqDznU</t>
  </si>
  <si>
    <t>zUsYGNwHKxw</t>
  </si>
  <si>
    <t>7Tf5QEdoO4Q</t>
  </si>
  <si>
    <t>iqpABS2UMRc</t>
  </si>
  <si>
    <t>NPDS33uD5j4</t>
  </si>
  <si>
    <t>2mmCA-xKw7A</t>
  </si>
  <si>
    <t>fAdnFU3uVAE</t>
  </si>
  <si>
    <t>SZMVhcJP87s</t>
  </si>
  <si>
    <t>3OhgUuZy3BU</t>
  </si>
  <si>
    <t>jq-cmxiPgH0</t>
  </si>
  <si>
    <t>ritJzBKCGh0</t>
  </si>
  <si>
    <t>BcZZOIdpISw</t>
  </si>
  <si>
    <t>TTyoth20rNk</t>
  </si>
  <si>
    <t>mc8gZlOCNhc</t>
  </si>
  <si>
    <t>L7l5MSpv9eE</t>
  </si>
  <si>
    <t>nhU5voy-uzg</t>
  </si>
  <si>
    <t>9ZXrkcS1hB8</t>
  </si>
  <si>
    <t>AspAxfAIiqk</t>
  </si>
  <si>
    <t>p24pyGQJd4c</t>
  </si>
  <si>
    <t>9BYixihzhy4</t>
  </si>
  <si>
    <t>ti7x9nmCmsk</t>
  </si>
  <si>
    <t>hrlkfiVT2TA</t>
  </si>
  <si>
    <t>qu6i2lgc-uY</t>
  </si>
  <si>
    <t>IM_eJ5VWLS0</t>
  </si>
  <si>
    <t>q2yJEc5KWVA</t>
  </si>
  <si>
    <t>eQ0V8uvfB98</t>
  </si>
  <si>
    <t>WrvsqR299MU</t>
  </si>
  <si>
    <t>LhM01tDbPf4</t>
  </si>
  <si>
    <t>adlroSxG1Q4</t>
  </si>
  <si>
    <t>fJfnqpiSv8k</t>
  </si>
  <si>
    <t>tcHGpw7KKE4</t>
  </si>
  <si>
    <t>2IP3iOe5cXI</t>
  </si>
  <si>
    <t>wGow7kVaxBg</t>
  </si>
  <si>
    <t>00tfUV2EfYw</t>
  </si>
  <si>
    <t>aslbdFLvxvg</t>
  </si>
  <si>
    <t>KtxrtYAbDCo</t>
  </si>
  <si>
    <t>bdboEE-b_x0</t>
  </si>
  <si>
    <t>g53KY7gRVFA</t>
  </si>
  <si>
    <t>bC3a1osMYR8</t>
  </si>
  <si>
    <t>TyWyVD6M7YQ</t>
  </si>
  <si>
    <t>u5F7YeS2ODU</t>
  </si>
  <si>
    <t>Shared commenter</t>
  </si>
  <si>
    <t>@aimanfiqri8232</t>
  </si>
  <si>
    <t>@willjohnboy</t>
  </si>
  <si>
    <t>@loki76</t>
  </si>
  <si>
    <t>@serioserkanalname499</t>
  </si>
  <si>
    <t>@JF-vt4ve</t>
  </si>
  <si>
    <t>@dedekaramehmet3470</t>
  </si>
  <si>
    <t>@dieterjay8062</t>
  </si>
  <si>
    <t>@LGitaliacs_Official</t>
  </si>
  <si>
    <t>@cymbol73</t>
  </si>
  <si>
    <t>@nathanaelniklaus2981</t>
  </si>
  <si>
    <t>@HDTVtests</t>
  </si>
  <si>
    <t>@RobertK1993</t>
  </si>
  <si>
    <t>@hussienalsafi1149</t>
  </si>
  <si>
    <t>@ColoRadio6996</t>
  </si>
  <si>
    <t>@andrewmorris3479</t>
  </si>
  <si>
    <t>@xintimidate</t>
  </si>
  <si>
    <t>@PD-ws4td</t>
  </si>
  <si>
    <t>@indeans48</t>
  </si>
  <si>
    <t>@RobGThai</t>
  </si>
  <si>
    <t>@wdmfan</t>
  </si>
  <si>
    <t>@ymalhotra490</t>
  </si>
  <si>
    <t>@solidbatman</t>
  </si>
  <si>
    <t>@Nathan.Espinoza</t>
  </si>
  <si>
    <t>@ILoveVidgeGames</t>
  </si>
  <si>
    <t>@nerymuniz6427</t>
  </si>
  <si>
    <t>@aksara555</t>
  </si>
  <si>
    <t>@memestuff69</t>
  </si>
  <si>
    <t>@bdafun123</t>
  </si>
  <si>
    <t>@kfx3907</t>
  </si>
  <si>
    <t>@69sex69</t>
  </si>
  <si>
    <t>@Shineyongs.</t>
  </si>
  <si>
    <t>@ttg889</t>
  </si>
  <si>
    <t>@marky3609</t>
  </si>
  <si>
    <t>@MohdFirdaus-lk2dm</t>
  </si>
  <si>
    <t>@MichalKolman</t>
  </si>
  <si>
    <t>@mrmusic1880</t>
  </si>
  <si>
    <t>@PhenomenalOne1000</t>
  </si>
  <si>
    <t>@itsdeonlol</t>
  </si>
  <si>
    <t>@brainwashedburgerworshipper</t>
  </si>
  <si>
    <t>@user-gf3nq6eb7o</t>
  </si>
  <si>
    <t>@reggiefurlow1</t>
  </si>
  <si>
    <t>@magnomliman8114</t>
  </si>
  <si>
    <t>@KillerTacos54</t>
  </si>
  <si>
    <t>@kevinkev1530</t>
  </si>
  <si>
    <t>@loitersquadx8590</t>
  </si>
  <si>
    <t>@patricknelson</t>
  </si>
  <si>
    <t>@SENATORPAIN1</t>
  </si>
  <si>
    <t>@WITFITMAN.</t>
  </si>
  <si>
    <t>@robert.wigley</t>
  </si>
  <si>
    <t>@user-dv5if1hm2w</t>
  </si>
  <si>
    <t>@troillandford7679</t>
  </si>
  <si>
    <t>@hogman3543</t>
  </si>
  <si>
    <t>@Goldenzeno</t>
  </si>
  <si>
    <t>@SeattleNoname</t>
  </si>
  <si>
    <t>@stickynorth</t>
  </si>
  <si>
    <t>@ToRung</t>
  </si>
  <si>
    <t>@majki6262</t>
  </si>
  <si>
    <t>@KearnuPhoenix</t>
  </si>
  <si>
    <t>@RHeidenreich572</t>
  </si>
  <si>
    <t>@chefkris44</t>
  </si>
  <si>
    <t>@mikeknowlton3690</t>
  </si>
  <si>
    <t>@chrisa.8175</t>
  </si>
  <si>
    <t>@paulct91</t>
  </si>
  <si>
    <t>@gabrielpina4</t>
  </si>
  <si>
    <t>@deltadom33</t>
  </si>
  <si>
    <t>@thng670</t>
  </si>
  <si>
    <t>@trollhunter8842</t>
  </si>
  <si>
    <t>@MARKXHWANG</t>
  </si>
  <si>
    <t>@J-B44</t>
  </si>
  <si>
    <t>@mclarenrob2</t>
  </si>
  <si>
    <t>@mchaten9071</t>
  </si>
  <si>
    <t>@johndoh5182</t>
  </si>
  <si>
    <t>@RealLifeTech187</t>
  </si>
  <si>
    <t>@mmmh2533</t>
  </si>
  <si>
    <t>@shaolindreams</t>
  </si>
  <si>
    <t>@HunterWoods</t>
  </si>
  <si>
    <t>@PhillipLemmon</t>
  </si>
  <si>
    <t>@LucidStrike</t>
  </si>
  <si>
    <t>@guyfawkes8873</t>
  </si>
  <si>
    <t>@dt6esdff413</t>
  </si>
  <si>
    <t>@ThisOrThat13</t>
  </si>
  <si>
    <t>@watchmejumpstart69</t>
  </si>
  <si>
    <t>@yashguma</t>
  </si>
  <si>
    <t>@dave4shmups</t>
  </si>
  <si>
    <t>@nazahary666</t>
  </si>
  <si>
    <t>@Telencephelon</t>
  </si>
  <si>
    <t>@tofu_golem</t>
  </si>
  <si>
    <t>@TheRealJohnHooper</t>
  </si>
  <si>
    <t>@-INFERNUS-</t>
  </si>
  <si>
    <t>@POVwalkswithrovingcyclops</t>
  </si>
  <si>
    <t>@cr-pol</t>
  </si>
  <si>
    <t>@gobbledygook5000</t>
  </si>
  <si>
    <t>@vaughnbay</t>
  </si>
  <si>
    <t>@micro-organism-pv5gd</t>
  </si>
  <si>
    <t>@roberthardenjr28</t>
  </si>
  <si>
    <t>@wread1982</t>
  </si>
  <si>
    <t>@nikolajovicic174</t>
  </si>
  <si>
    <t>@alfgamingtv7715</t>
  </si>
  <si>
    <t>@patrickfe6747</t>
  </si>
  <si>
    <t>@Malklaw</t>
  </si>
  <si>
    <t>@J_Brian</t>
  </si>
  <si>
    <t>@Games_and_Tech</t>
  </si>
  <si>
    <t>@napoficial7123</t>
  </si>
  <si>
    <t>@ouki4925</t>
  </si>
  <si>
    <t>@gingerpoppins1429</t>
  </si>
  <si>
    <t>@tft_and_chill</t>
  </si>
  <si>
    <t>@davefroman4700</t>
  </si>
  <si>
    <t>@lemonlimelukey</t>
  </si>
  <si>
    <t>@fairycat</t>
  </si>
  <si>
    <t>@aegontargaryen573</t>
  </si>
  <si>
    <t>@ployth9000</t>
  </si>
  <si>
    <t>@Evenaardez</t>
  </si>
  <si>
    <t>@jjglaser</t>
  </si>
  <si>
    <t>@lyntonbell7604</t>
  </si>
  <si>
    <t>@MegaMijit</t>
  </si>
  <si>
    <t>@hlodhlod1460</t>
  </si>
  <si>
    <t>@mickey_ho</t>
  </si>
  <si>
    <t>@KunoichiTin</t>
  </si>
  <si>
    <t>@MyTwinFlame</t>
  </si>
  <si>
    <t>@Kingvoakahustla</t>
  </si>
  <si>
    <t>@sammysyapaka</t>
  </si>
  <si>
    <t>@agostinoabbatecola4289</t>
  </si>
  <si>
    <t>@fahadqureshi9220</t>
  </si>
  <si>
    <t>@Kapono5150</t>
  </si>
  <si>
    <t>@TheFunseekers</t>
  </si>
  <si>
    <t>@bobsmithson8592</t>
  </si>
  <si>
    <t>@Itsameamario-ns3se</t>
  </si>
  <si>
    <t>@buyingastairwaytoheaven5252</t>
  </si>
  <si>
    <t>@PSYCHOV3N0M</t>
  </si>
  <si>
    <t>@Gwrightproductions1</t>
  </si>
  <si>
    <t>@SFBenjaminK</t>
  </si>
  <si>
    <t>@chrisbullock6477</t>
  </si>
  <si>
    <t>@tonep3168</t>
  </si>
  <si>
    <t>@Anthony-wm5of</t>
  </si>
  <si>
    <t>@tonypaca3015</t>
  </si>
  <si>
    <t>@michaelbeckerman7532</t>
  </si>
  <si>
    <t>@aliettienne2907</t>
  </si>
  <si>
    <t>@brytonkalyi277</t>
  </si>
  <si>
    <t>@helloimedden</t>
  </si>
  <si>
    <t>@VaibhavShewale</t>
  </si>
  <si>
    <t>@Bright123-fp3jl</t>
  </si>
  <si>
    <t>@speicaldark</t>
  </si>
  <si>
    <t>@itsyourHannah</t>
  </si>
  <si>
    <t>@shivamarya5225</t>
  </si>
  <si>
    <t>@jb7753</t>
  </si>
  <si>
    <t>@enzog1078</t>
  </si>
  <si>
    <t>@krazyolie</t>
  </si>
  <si>
    <t>@michael-ir8cj</t>
  </si>
  <si>
    <t>@MarcoHernandez-nb5dc</t>
  </si>
  <si>
    <t>@AXXXXA</t>
  </si>
  <si>
    <t>@2023_Tv_buying</t>
  </si>
  <si>
    <t>@michaelwyckoff7593</t>
  </si>
  <si>
    <t>@teriumrostovski8774</t>
  </si>
  <si>
    <t>@United_Wings</t>
  </si>
  <si>
    <t>@bani_niba</t>
  </si>
  <si>
    <t>@techsamurai11</t>
  </si>
  <si>
    <t>@VIKASHSINGH-hb7uj</t>
  </si>
  <si>
    <t>@Deltax5</t>
  </si>
  <si>
    <t>@espressodisplays</t>
  </si>
  <si>
    <t>@lostskull7467</t>
  </si>
  <si>
    <t>@bsdpowa</t>
  </si>
  <si>
    <t>@tropicthndr</t>
  </si>
  <si>
    <t>@goblinphreak2132</t>
  </si>
  <si>
    <t>@LudwigHorsecock</t>
  </si>
  <si>
    <t>@ksr2070</t>
  </si>
  <si>
    <t>@raisofahri5797</t>
  </si>
  <si>
    <t>@robertt9342</t>
  </si>
  <si>
    <t>@LiVeWiRez</t>
  </si>
  <si>
    <t>@Jrfeimst2</t>
  </si>
  <si>
    <t>@moshebaum7612</t>
  </si>
  <si>
    <t>@timmark4190</t>
  </si>
  <si>
    <t>@arthurwatts1680</t>
  </si>
  <si>
    <t>@Housestationlive</t>
  </si>
  <si>
    <t>@PierreSlot</t>
  </si>
  <si>
    <t>@erichubbard7754</t>
  </si>
  <si>
    <t>@Factsfun-kg4xc</t>
  </si>
  <si>
    <t>@watchonjar</t>
  </si>
  <si>
    <t>@ha231</t>
  </si>
  <si>
    <t>@Sejuani89</t>
  </si>
  <si>
    <t>@AleksLazar</t>
  </si>
  <si>
    <t>@IB1GMANI</t>
  </si>
  <si>
    <t>@LiveeyePhoto</t>
  </si>
  <si>
    <t>@AudiophileTommy</t>
  </si>
  <si>
    <t>@robertlawrence9000</t>
  </si>
  <si>
    <t>@logik303</t>
  </si>
  <si>
    <t>@MrFasta12</t>
  </si>
  <si>
    <t>@BTheInstaller</t>
  </si>
  <si>
    <t>@Homerpip-em5nm</t>
  </si>
  <si>
    <t>@BarsMar</t>
  </si>
  <si>
    <t>@stripstick</t>
  </si>
  <si>
    <t>@Maccaroon_7879</t>
  </si>
  <si>
    <t>@lazyreuvin</t>
  </si>
  <si>
    <t>@eSKAone-</t>
  </si>
  <si>
    <t>@TheSleepingOz</t>
  </si>
  <si>
    <t>@norkshit</t>
  </si>
  <si>
    <t>@AAa-qd8hb</t>
  </si>
  <si>
    <t>@gajjdy</t>
  </si>
  <si>
    <t>@JJs_playground</t>
  </si>
  <si>
    <t>@phoenix5054</t>
  </si>
  <si>
    <t>@nl1318</t>
  </si>
  <si>
    <t>@palmshoot</t>
  </si>
  <si>
    <t>@davidhunternyc1</t>
  </si>
  <si>
    <t>@teacher555555</t>
  </si>
  <si>
    <t>@Travisb238</t>
  </si>
  <si>
    <t>@kevinwu7865</t>
  </si>
  <si>
    <t>@sophieedel6324</t>
  </si>
  <si>
    <t>@Max86421</t>
  </si>
  <si>
    <t>@paulc5389</t>
  </si>
  <si>
    <t>@steveludwig4200</t>
  </si>
  <si>
    <t>@CabrioDriving</t>
  </si>
  <si>
    <t>@SpidermanandJeny</t>
  </si>
  <si>
    <t>@k_scyther</t>
  </si>
  <si>
    <t>@michaelangst6078</t>
  </si>
  <si>
    <t>@donjaun540</t>
  </si>
  <si>
    <t>@skankhunt420</t>
  </si>
  <si>
    <t>@jamesburke2759</t>
  </si>
  <si>
    <t>@emiel255</t>
  </si>
  <si>
    <t>@CodyTheAI</t>
  </si>
  <si>
    <t>@lil----lil</t>
  </si>
  <si>
    <t>@joaquinarchivaldoguzmanloe1073</t>
  </si>
  <si>
    <t>@HawkSea</t>
  </si>
  <si>
    <t>@nttinvis</t>
  </si>
  <si>
    <t>@mz1929</t>
  </si>
  <si>
    <t>@aberkae</t>
  </si>
  <si>
    <t>@Isildan88</t>
  </si>
  <si>
    <t>@joeschmoe5009</t>
  </si>
  <si>
    <t>@drunkhusband6257</t>
  </si>
  <si>
    <t>@NickDrinksWater</t>
  </si>
  <si>
    <t>@heribertogomez5191</t>
  </si>
  <si>
    <t>@jamesroy791</t>
  </si>
  <si>
    <t>@klaymoon1</t>
  </si>
  <si>
    <t>@pauldannelachica2388</t>
  </si>
  <si>
    <t>@roodick85</t>
  </si>
  <si>
    <t>@aeromtb2468</t>
  </si>
  <si>
    <t>@chadlanc</t>
  </si>
  <si>
    <t>@metalgear254</t>
  </si>
  <si>
    <t>@andreirachko</t>
  </si>
  <si>
    <t>@CherlynnLow</t>
  </si>
  <si>
    <t>@alexanderalexander2824</t>
  </si>
  <si>
    <t>@joeykeilholz925</t>
  </si>
  <si>
    <t>@ozzyg82</t>
  </si>
  <si>
    <t>@meisuci4708</t>
  </si>
  <si>
    <t>@lbgstzockt8493</t>
  </si>
  <si>
    <t>@RawHeat100</t>
  </si>
  <si>
    <t>@DesoloZantas</t>
  </si>
  <si>
    <t>@SteveSmith-cm1hx</t>
  </si>
  <si>
    <t>@MirelRC</t>
  </si>
  <si>
    <t>@user-ub5go8gt4u</t>
  </si>
  <si>
    <t>@Bensam123</t>
  </si>
  <si>
    <t>@artarealmblazer8452</t>
  </si>
  <si>
    <t>@Ozzymandius1</t>
  </si>
  <si>
    <t>@Tanner404</t>
  </si>
  <si>
    <t>@charivnick</t>
  </si>
  <si>
    <t>@Verysemporna</t>
  </si>
  <si>
    <t>@jhunt5578</t>
  </si>
  <si>
    <t>@Andy-sm4xi</t>
  </si>
  <si>
    <t>@BrandonDoyleMN</t>
  </si>
  <si>
    <t>@1Starsky11</t>
  </si>
  <si>
    <t>@fredfred2363</t>
  </si>
  <si>
    <t>@frankboyer1490</t>
  </si>
  <si>
    <t>@samfisherxboxog8925</t>
  </si>
  <si>
    <t>@iZacq</t>
  </si>
  <si>
    <t>@user-kw7xk5hj4f</t>
  </si>
  <si>
    <t>@booboo29407</t>
  </si>
  <si>
    <t>@beancheez2905</t>
  </si>
  <si>
    <t>@samserious1337</t>
  </si>
  <si>
    <t>@FunkyStudios</t>
  </si>
  <si>
    <t>@adicahya</t>
  </si>
  <si>
    <t>@WANDERER0070</t>
  </si>
  <si>
    <t>@bilguana11</t>
  </si>
  <si>
    <t>@grimdawn3091</t>
  </si>
  <si>
    <t>@demonhogo</t>
  </si>
  <si>
    <t>@ShotgunAFlyboy</t>
  </si>
  <si>
    <t>@trengodd</t>
  </si>
  <si>
    <t>@vigorgaming8</t>
  </si>
  <si>
    <t>@jeevejavari8461</t>
  </si>
  <si>
    <t>@rcinematic</t>
  </si>
  <si>
    <t>@intothebeyond8763</t>
  </si>
  <si>
    <t>@MikeCriticalOps</t>
  </si>
  <si>
    <t>@SkateSoup</t>
  </si>
  <si>
    <t>@oddbutfair8852</t>
  </si>
  <si>
    <t>@gorrilaunit99</t>
  </si>
  <si>
    <t>@David-kh2gk</t>
  </si>
  <si>
    <t>@DesuVR</t>
  </si>
  <si>
    <t>@tritrinh6855</t>
  </si>
  <si>
    <t>@ShimejiiGaming</t>
  </si>
  <si>
    <t>@IronMkT682</t>
  </si>
  <si>
    <t>@kosminuskosminus6668</t>
  </si>
  <si>
    <t>@Somethingfs-sx1ft</t>
  </si>
  <si>
    <t>@anonr4233</t>
  </si>
  <si>
    <t>@biffhenderson1144</t>
  </si>
  <si>
    <t>@superiortoall22</t>
  </si>
  <si>
    <t>@a.e.1502</t>
  </si>
  <si>
    <t>@nickthaskater</t>
  </si>
  <si>
    <t>@Mr_ToR</t>
  </si>
  <si>
    <t>@jiggerypokery2962</t>
  </si>
  <si>
    <t>@AgentMoler</t>
  </si>
  <si>
    <t>@DedlyAidan</t>
  </si>
  <si>
    <t>@awakstein</t>
  </si>
  <si>
    <t>@zanfear</t>
  </si>
  <si>
    <t>@DigIntoGaming</t>
  </si>
  <si>
    <t>@armaanchowdhury1690</t>
  </si>
  <si>
    <t>@calebhelpingstine9093</t>
  </si>
  <si>
    <t>@jarrodkober</t>
  </si>
  <si>
    <t>@BreakTime10101</t>
  </si>
  <si>
    <t>@mattgiunt</t>
  </si>
  <si>
    <t>@dolph9913</t>
  </si>
  <si>
    <t>@epencrep</t>
  </si>
  <si>
    <t>@mrki731</t>
  </si>
  <si>
    <t>@Jay2k2323</t>
  </si>
  <si>
    <t>@AppleInsider</t>
  </si>
  <si>
    <t>@o.c.g.m9426</t>
  </si>
  <si>
    <t>@WillNewcomb</t>
  </si>
  <si>
    <t>@Epicgamer_Mac</t>
  </si>
  <si>
    <t>@YAHVISIONRowles</t>
  </si>
  <si>
    <t>@MaxTechOfficial</t>
  </si>
  <si>
    <t>@prashank</t>
  </si>
  <si>
    <t>@RichardServello</t>
  </si>
  <si>
    <t>@Elemblue2</t>
  </si>
  <si>
    <t>@aboucard93</t>
  </si>
  <si>
    <t>@liamcollinson5695</t>
  </si>
  <si>
    <t>@DaveGX</t>
  </si>
  <si>
    <t>@Drstrange3000</t>
  </si>
  <si>
    <t>@DavidConant</t>
  </si>
  <si>
    <t>@c0pyimitati0n</t>
  </si>
  <si>
    <t>@MrMoney331</t>
  </si>
  <si>
    <t>@JustinGeekNerd</t>
  </si>
  <si>
    <t>@Muhluri</t>
  </si>
  <si>
    <t>@eon5323</t>
  </si>
  <si>
    <t>@awwwtomotive</t>
  </si>
  <si>
    <t>@blackfoxstudioX</t>
  </si>
  <si>
    <t>@Ron-sp7lw</t>
  </si>
  <si>
    <t>@izakshuvo8434</t>
  </si>
  <si>
    <t>@eldraque4556</t>
  </si>
  <si>
    <t>@SevenDeMagnus</t>
  </si>
  <si>
    <t>@nickhurley2472</t>
  </si>
  <si>
    <t>@hybridinfodesk409</t>
  </si>
  <si>
    <t>@@alexalexius2688 Just buy Stellar Blade . It release around 2024 . TLOU 3 or Horizon 3 will be 2026 , 2027 , 2028 . Are you gonna wait for that ? I&amp;#39;m not criticizing you but I love Playstation players . Trust me buddy . Stellar Blade is a good game</t>
  </si>
  <si>
    <t>Yes . Did you know why Stellar Blade has been delayed until 2024 ? Because of Sony censorship</t>
  </si>
  <si>
    <t>Will sony censor stellar blade?</t>
  </si>
  <si>
    <t>CES is not about &amp;quot;software&amp;quot; AKA games by Sony. They would only talk about hardware. So anything in tech. Like TVs, Audio, and other tech. Sure they could announce something Playstation related, but that would be in hardware.&lt;br&gt;IF they happen to have a state of play around same time that is still not CES 2024 stuff.</t>
  </si>
  <si>
    <t>Stable Diffusion runs on 6gb easily,not 16gb, and the arc 770 also has 16gb vram so the amd card is definitely not the first.</t>
  </si>
  <si>
    <t>Clicks. Vielleicht nicht die beste Lösung. Aber immerhin endlich wieder palm und Blackberry Feeling. Mein Muscle Memory legt los und ich tip 70 wpm exakt und korrekt. Wie es seien muss. Dazu noch unterm Tisch, im Nassen oder Kalten. Notfalls freihändig beim Radfahren. &lt;br&gt;freu mich drauf. Danken fürs covern!!!</t>
  </si>
  <si>
    <t>_xD83D__xDC4D__xD83C__xDFFC__xD83D__xDC4D__xD83C__xDFFC__xD83D__xDC4D__xD83C__xDFFC__xD83D__xDC4D__xD83C__xDFFC__xD83D__xDC4D__xD83C__xDFFC__xD83D__xDE09__xD83D__xDE09__xD83D__xDE09_</t>
  </si>
  <si>
    <t>Ja, wer weiß, wer weiß, es kann gut sein, dass  das liebe Faultier dieses Jahr mit dem Joggen anfängt_xD83D__xDE0A_</t>
  </si>
  <si>
    <t>&lt;a href="https://youtube.com/@LGitaliacs_Official"&gt;https://youtube.com/@LGitaliacs_Official&lt;/a&gt;</t>
  </si>
  <si>
    <t>Wonderful innovation</t>
  </si>
  <si>
    <t>Not sure why them and Samsung didn&amp;#39;t put their top tech in 83&amp;quot;. That&amp;#39;s what I&amp;#39;m shopping for. So far, by default, LG is getting my money cause they are the only ones going big with their latest tech. Guess it makes the decision easy. _xD83E__xDD17_</t>
  </si>
  <si>
    <t>​@@marcofabiocarosi2996+ it has two HDMI ports only...for that price</t>
  </si>
  <si>
    <t>Good to see Panasonic and learn nothing about design still.... Dreadful is the only word I could use... Still disgusting speakers on the bottom, another company that is completely lost the plot...</t>
  </si>
  <si>
    <t>A lot of people can&amp;#39;t fit 65 inch on their wall.</t>
  </si>
  <si>
    <t>@@Sonola777 Not really since it be reduced again by the time G4 and guess what it and it&amp;#39;s successor A95M in 2024 Wil beat it. Stop moaning if can&amp;#39;t afford better</t>
  </si>
  <si>
    <t>@@marcofabiocarosi2996 LG G3 OLED should be what C3 and C3 should be cheaper</t>
  </si>
  <si>
    <t>@@RichyH1000 MLA crushes blacks QD OLED does not</t>
  </si>
  <si>
    <t>@@marcofabiocarosi2996 Not anymore down  a bit but you pay for flagship from a brand like Sony who charge like Apple but deliver way more</t>
  </si>
  <si>
    <t>Buy Sony Bravia A95L QD OLED it&amp;#39;s better than MLA OLED</t>
  </si>
  <si>
    <t>☺️☺️☺️☺️☺️☺️</t>
  </si>
  <si>
    <t>Lon,   Stay safe in Vegas...  J</t>
  </si>
  <si>
    <t>@@PD-ws4td TFTCentral.</t>
  </si>
  <si>
    <t>@@PD-ws4td 60% brighter is at the top in the information for this video. Brightness values are from TFTCentral’s video about LG’s OLED roadmap for this year. I can also tell by watching this video those numbers are accurate.</t>
  </si>
  <si>
    <t>@@CarnivoryHODLThis one will be available at the end of June. In the meantime it’ll be hard not to buy an Alienware AW2725DF which is a glossy 27” 1440P 360Hz QD-OLED monitor that should be available soon!</t>
  </si>
  <si>
    <t>Yes!!! 275 nits in a 100% APL which is easy to see in this video. 60% brighter than the 27GR95QE.</t>
  </si>
  <si>
    <t>bc it makes the colors look terrible in comparison to glossy. Why would they put something on the display that hinders the black levels of oled? makes 0 sense. OLEDs arent made for playing in bright rooms and with the sun glaring on the monitor. Its for gaming</t>
  </si>
  <si>
    <t>Dang…a glossy 27” 1440P 480Hz MLA OLED! _xD83D__xDE0D_</t>
  </si>
  <si>
    <t>Unfortunately all LG Display variants are confirmed matte... Big, nay, huge mistake</t>
  </si>
  <si>
    <t>Nope, unfortunately matte...</t>
  </si>
  <si>
    <t>@@andrewmorris3479where did you get these numbers from?</t>
  </si>
  <si>
    <t>Matte reflects just as much light as glossy, the difference is that the matte smears the light all over the screen, which is actually much worse.</t>
  </si>
  <si>
    <t>But y&amp;#39;all still won&amp;#39;t try to revive 21:9 tvs lol?</t>
  </si>
  <si>
    <t>Interesting to see the state of consumer product in this area. In professional control those type of attack didn’t work even ten years ago. My colleague and I tried to fool fingerprint as a test for newly installed security system. The fingerprint didn’t work because it looks for temperature and other stuff as well. The facial recognition also check if it’s really a person and not a picture.</t>
  </si>
  <si>
    <t>Imagine transparent TV, plugged into PC.&lt;br&gt;&amp;amp; palm plug or thanos glove acting as mouse. &lt;br&gt;&lt;br&gt;You have 3D interface for computing. &lt;br&gt;Flow your hand around mouse pad to move cursor.&lt;br&gt;Move your hand towards or away from pad to move cursor in 3rd dimension. &lt;br&gt;&lt;br&gt;Hold your fingers together or hold a pen to write and draw.&lt;br&gt;Grab acting to push, pull, grab or throw icons or anything on the interface, like 3d CAD modeling. &lt;br&gt;&lt;br&gt;This will change computing forever  (like touchscreen did to phones).</t>
  </si>
  <si>
    <t>Good luck man slot of tech  YouTube&amp;#39;s  like u are going as well</t>
  </si>
  <si>
    <t>That ice cream one seems like it will be juicero 2.0</t>
  </si>
  <si>
    <t>i am!</t>
  </si>
  <si>
    <t>that wasn’t me haha</t>
  </si>
  <si>
    <t>Go see CarterPcs</t>
  </si>
  <si>
    <t>Looks likes ASUS brought back the DS days _xD83D__xDE02_</t>
  </si>
  <si>
    <t>❤</t>
  </si>
  <si>
    <t>Meet up with carter pcs</t>
  </si>
  <si>
    <t>Pt 2 please</t>
  </si>
  <si>
    <t>와... 레티널이 한국기업이었구나...!</t>
  </si>
  <si>
    <t>이게 제일 재밌음 ㅋㅋ_xD83D__xDE0A_</t>
  </si>
  <si>
    <t>투명 디스플레이 활용 하는것들이 눈에 가는군요</t>
  </si>
  <si>
    <t>전기차 뭐 별거 있음? 70-80%가 배터리인것을 ㅋ</t>
  </si>
  <si>
    <t>@@macrumors &lt;br&gt;Yeah it&amp;#39;d be cool I expect it to be implemented in a few years probably on those electric cars</t>
  </si>
  <si>
    <t>I can immediately think of multiple use cases for rhe see thru displays one of which would be a car windshield to have a full heada uo display right on thr windshield. 2nd use case would be for glasses you could have a heads up display right in your glasses.</t>
  </si>
  <si>
    <t>Display</t>
  </si>
  <si>
    <t>You&amp;#39;re still getting better performance, nothing changes. Every company has to embrace current trends to stay relevant, you can&amp;#39;t expect them to ignore AI.</t>
  </si>
  <si>
    <t>Samsung is just Next Level!</t>
  </si>
  <si>
    <t>il be so mad cuz I got it as a Christmas gift and didnt start yet</t>
  </si>
  <si>
    <t>4070 Ti Super is still a strange name...</t>
  </si>
  <si>
    <t>I&amp;#39;m buying a Zephyrus G this year! Undecided on 16&amp;quot; or 14&amp;quot; but if 16 is more than five hours then I&amp;#39;m getting that. I love that they made the keycaps bigger.</t>
  </si>
  <si>
    <t>Whats the price tho? Anything above 700 is DoA</t>
  </si>
  <si>
    <t>AI is the future!!!! W Lisa Su!!!!!</t>
  </si>
  <si>
    <t>Yay more stuff I can&amp;#39;t afford</t>
  </si>
  <si>
    <t>its not.</t>
  </si>
  <si>
    <t>Are people this incompetent that they can&amp;#39;t understand English in a foreign accent? Dear lord</t>
  </si>
  <si>
    <t>_xD83D__xDC4D__xD83C__xDFFF_</t>
  </si>
  <si>
    <t>_xD83D__xDC4D__xD83C__xDFFF__xD83D__xDC4D__xD83C__xDFFF_</t>
  </si>
  <si>
    <t>Great now i can get robbed in style !</t>
  </si>
  <si>
    <t>Wow, nice! The future is looking awfully decadent for &lt;i&gt;rich&lt;/i&gt; people! So, uh… what about the rest of us?&lt;br&gt;&lt;br&gt;(j/k I know cutting edge tech is always on the high end, but… bottle service? lol _xD83D__xDE06_)</t>
  </si>
  <si>
    <t>I&amp;#39;d say you would have to be pretty gay to notice anything higher then 160-180</t>
  </si>
  <si>
    <t>&lt;a href="https://www.youtube.com/watch?v=PMW01KBO_R8&amp;amp;t=4m30s"&gt;4:30&lt;/a&gt; LIKE THIS ZONE. MATT BALCK COLOR DECOR _xD83D__xDE0E__xD83D__xDCA5__xD83D__xDCA5__xD83D__xDCA5__xD83D__xDCA5__xD83D__xDCA5__xD83D__xDCA5__xD83D__xDCA5__xD83D__xDCA5__xD83D__xDCA5__xD83D__xDCA5_</t>
  </si>
  <si>
    <t>ODYSSEY OLED G8 21:9 AND 16:9 IS SAME NAME, PEOPLE WILL CONFUSE _xD83D__xDE0E__xD83D__xDCA5__xD83D__xDCA5__xD83D__xDCA5__xD83D__xDCA5__xD83D__xDCA5__xD83D__xDCA5__xD83D__xDCA5__xD83D__xDCA5__xD83D__xDCA5__xD83D__xDCA5__xD83D__xDCA5__xD83D__xDCA5_</t>
  </si>
  <si>
    <t>From what I have seen so far, including esewhere, CES this year looks completely underwhelming.</t>
  </si>
  <si>
    <t>If you are a Galaxy phone user, there is nothing like a Galaxy Book. The ecosystem is crazy. I love my Galaxy.</t>
  </si>
  <si>
    <t>These are thinner , more efficient, ai power, cooler , and still very nice laptopsm I like them</t>
  </si>
  <si>
    <t>Ffs enough laptops. When will they ever make good AIO computers, every year they disappoint</t>
  </si>
  <si>
    <t>Console is better</t>
  </si>
  <si>
    <t>3090 users crying seeing 4070 super price</t>
  </si>
  <si>
    <t>Rtx 5090 tie for sale only 10.000.000 per unit_xD83D__xDE02_</t>
  </si>
  <si>
    <t>How can I attend the next CES in 2024?</t>
  </si>
  <si>
    <t>_xD83D__xDE02__xD83D__xDE02__xD83D__xDE02__xD83D__xDE02_ Jealous Toyota fanboy always mad at whatever Hyundai/Kia is doing.</t>
  </si>
  <si>
    <t>Korean companies are innovative.</t>
  </si>
  <si>
    <t>I love KIA ❤❤</t>
  </si>
  <si>
    <t>This Kia EV is likely to be useful in various transportation like post offices, small packages, and delivery. I&amp;#39;m sure it&amp;#39;ll be sold out as soon as it&amp;#39;s released.</t>
  </si>
  <si>
    <t>Ditto!@@caseyrice768</t>
  </si>
  <si>
    <t>It is my pleasure to meet you!_xD83D__xDC95__xD83D__xDE0D__xD83C__xDF39_</t>
  </si>
  <si>
    <t>Dude just get a translator my god.</t>
  </si>
  <si>
    <t>trash cars</t>
  </si>
  <si>
    <t>I&amp;#39;m happy they have better cameras and is water resistant I will buy now</t>
  </si>
  <si>
    <t>That light bar is weirdly placed</t>
  </si>
  <si>
    <t>They way she spits those monitor model name! What a rap god!</t>
  </si>
  <si>
    <t>May you have a fantastic day and many more to come❤_xD83E__xDD70_</t>
  </si>
  <si>
    <t>We don&amp;#39;t need 8K. We barely need 4K.</t>
  </si>
  <si>
    <t>Samsung!! ❤❤</t>
  </si>
  <si>
    <t>It&amp;#39;s futuristic</t>
  </si>
  <si>
    <t>AI Agent: &amp;quot;How do you feel today?&amp;quot;&lt;br&gt;&lt;br&gt;Me: &amp;quot;How about you leave me alone, I&amp;#39;m trying to relax in my home, bro.&amp;quot;</t>
  </si>
  <si>
    <t>@@FeelMyBirdie but general public is their customer, they should introduce their ideas to the general public, so they will get the feedback.</t>
  </si>
  <si>
    <t>why the CES is not open for general public?</t>
  </si>
  <si>
    <t>&lt;a href="https://www.youtube.com/watch?v=sQ6S7XzvFgw&amp;amp;t=1m46s"&gt;1:46&lt;/a&gt; WHEEL SO SCI FI _xD83D__xDE0E__xD83E__xDD64__xD83C__xDF7F__xD83D__xDCA5__xD83D__xDCA5__xD83D__xDCA5__xD83D__xDCA5__xD83D__xDCA5__xD83D__xDCA5__xD83D__xDCA5__xD83D__xDCA5_</t>
  </si>
  <si>
    <t>NEXT CLIP SAMSUNG _xD83D__xDE0E__xD83D__xDCA5__xD83D__xDCA5__xD83D__xDCA5__xD83D__xDCA5__xD83D__xDCA5__xD83D__xDCA5__xD83D__xDCA5__xD83D__xDCA5__xD83D__xDCA5_</t>
  </si>
  <si>
    <t>USE CLOSED CAPTIONING if you have trouble... I did but that&amp;#39;s OK. He&amp;#39;s Japanese and I expect a thick lovely accent. It would expect him to as one of Honda&amp;#39;s upper management. Same if you were Indian, for example... Or even Middle England... That&amp;#39;s how I had to watch Coronation Street here in Canada because the accents were pure Middle England and I&amp;#39;m Western Canadian. Same language but speech patterns are light years apart...</t>
  </si>
  <si>
    <t>Not even REMOTELY true... Here in Canada Tesla has a network that can take you from Victoria to Halifax and we were built out AFTER the USA had several trans-national networks... And besides 60% of people charge at home overnight using L1... Aka your regular wall socket...</t>
  </si>
  <si>
    <t>WHAT? Your house doesn&amp;#39;t have electricity, KANYE? Then you shouldn&amp;#39;t have ripped it out of the wall in a fit of madness!!!</t>
  </si>
  <si>
    <t>Exactly. Infrastructure is there. There’re not going the the alpha concept like their robot falling down the steps.&lt;br&gt;I trust Honda</t>
  </si>
  <si>
    <t>@@Joe_2025 that was funny</t>
  </si>
  <si>
    <t>Nice to see that despite being late to the EV party, Honda is now headed in the right direction. Now spend that $18B to upgrade/build new EV factories here in Canada!</t>
  </si>
  <si>
    <t>Can they get spokespeople, that speak clear English please. I know that sounds bad, but I&amp;#39;ve got to put the subtitles up, just to understand what they&amp;#39;re saying.</t>
  </si>
  <si>
    <t>Someone&amp;#39;s been playing Cyberpunk 2077 XD</t>
  </si>
  <si>
    <t>Hello ❤_xD83D__xDE0D__xD83C__xDF39_ Have good day</t>
  </si>
  <si>
    <t>Whose head of design _xD83D__xDE02__xD83D__xDE02__xD83D__xDE02_</t>
  </si>
  <si>
    <t>Plus... Minority Report... It just looks cool!</t>
  </si>
  <si>
    <t>What also removes glare in a living room? CURTAINS!</t>
  </si>
  <si>
    <t>I can easily see transparent OLED screens replacing traditional windshields as an easy-ish way to make an interactive visual screens in cars of a large size...  That would really make interiors minimalist...  Or possibly the windshield a giant touch screen...</t>
  </si>
  <si>
    <t>&lt;a href="https://www.youtube.com/watch?v=x8TuG7Or5y8&amp;amp;t=2m28s"&gt;2:28&lt;/a&gt; DESIGN LIKE OLED G8 G9 _xD83D__xDE0E__xD83D__xDCA5__xD83D__xDCA5__xD83D__xDCA5__xD83D__xDCA5__xD83D__xDCA5__xD83D__xDCA5__xD83D__xDCA5__xD83D__xDCA5__xD83D__xDCA5_</t>
  </si>
  <si>
    <t>Anti glare tv? How long they been holding out on that one.</t>
  </si>
  <si>
    <t>Ces stuff never comes to regular people with reasonable  prices!!! So i hate watching the concepts that never come to past.  Just teaser... that sucks!! For 99% of us..</t>
  </si>
  <si>
    <t>​@@amdforlife5591Which one?</t>
  </si>
  <si>
    <t>​@@buyingastairwaytoheaven5252Nope, both really products just like the monsterity WP200 from Thermaltake... though these are small and more manageable. Obviously expensive, just like that HeliCarrier PC custom case that LTT mentioned a few years ago.</t>
  </si>
  <si>
    <t>Not, sure but a squareish sorta look can be had with the side bars of the HeatKiller reservoirs.</t>
  </si>
  <si>
    <t>Only thing i care about seeing at ces is companies taking health seriously for once like i rather wait until features like automatic calorie counters like the healbe gobe or a blood glucose feature like a cgm super accessible and wont upgrade my samsung watch 3 until at least one of these features is out even if i have to wait years!!! Companies need to take health seriously _xD83D__xDE10_</t>
  </si>
  <si>
    <t>None of you mentioned health not once do you all think health will not be big at all in 2024? Not even ai health? Or fitness trackers using ai for health?</t>
  </si>
  <si>
    <t>No XR or VR-- Pimax 12K QLED, Somnium VR1, any news on that HyperVision 240 FOV VR display?  Any info on Breylon displays or Leia Inc or LookingGlassFactory holographic displays? Have they not demoed their products yet?</t>
  </si>
  <si>
    <t>Based on a glance, these things seem rather unfavorite worthy...</t>
  </si>
  <si>
    <t>@@lasaldude that&amp;#39;s the tech industry</t>
  </si>
  <si>
    <t>The whole talk was generated by ai without any human intelligence&lt;br&gt;Another echo chamber</t>
  </si>
  <si>
    <t>Are they going to get below 1nm and how are they going to do it&lt;br&gt;As they are using ai in the terms of large language models rather than the fact of neural networks &lt;br&gt;Until these chips come out and they are actually running them &lt;br&gt;This is all just pie in the sky and they didnt show anybody actually using them &lt;br&gt;They didnt show the chips with how many cores they are running or anything and there was no way to tell whether the graphics cards are any good</t>
  </si>
  <si>
    <t>Lol go build a chip and lecture us my guy... come back to Earth. Stop thinking you know better because you don&amp;#39;t... they&amp;#39;re merely giving a sneak peek and make it accessible for everyone to understand. This is new stuff for most so they&amp;#39;re just presenting the surface and keep us interested.</t>
  </si>
  <si>
    <t>Hope they improve their ray tracing on their gpu.</t>
  </si>
  <si>
    <t>if u r not a real AI expert, then dont pretend to be one. cause people can tell easily...   my advice to AMD is try not to bit a pie that is not yours</t>
  </si>
  <si>
    <t>if you are not an AI expert, then dont pretend to be one. cause people can tell easily...</t>
  </si>
  <si>
    <t>none of these product has anything to do with AI, okay?</t>
  </si>
  <si>
    <t>Windows can spy better on you and ur wishes</t>
  </si>
  <si>
    <t>what a load of boring old twaddle</t>
  </si>
  <si>
    <t>Generative ai = ai creating things. &lt;br&gt;&lt;br&gt;They are using language word play to tell you they are doing the exact thing everyone is scared of ai doing... And now they are promoting it as a great thing.... &lt;br&gt;&lt;br&gt;Everywhere you look it&amp;#39;s ai aiaiaiai</t>
  </si>
  <si>
    <t>Ryzen desktop 8000 G parts, new APUs, first new set of APUs since the 5700G and 5600G.  Those are big sellers for AMD so there&amp;#39;s that also.</t>
  </si>
  <si>
    <t>Everyone in this looks AI generated. NPCs confirmed</t>
  </si>
  <si>
    <t>we live in weird times</t>
  </si>
  <si>
    <t>Why do i need A.I. in my CPU what&amp;#39;s it do???? Will it fix the computer when it messes up?</t>
  </si>
  <si>
    <t>I can&amp;#39;t believe they didn&amp;#39;t mention AI...</t>
  </si>
  <si>
    <t>I&amp;#39;ll wait for the unpacked event from Samsung ces this year was all about AI&lt;br&gt;Yuck</t>
  </si>
  <si>
    <t>Zen 4C has less cache. Broke ass cores. _xD83D__xDE0F_</t>
  </si>
  <si>
    <t>And car Lovers account for how much of the consumer base?</t>
  </si>
  <si>
    <t>I&amp;#39;ve i9 and 4090, switch from twin tower to water cooling and it&amp;#39;s still hot af,&lt;br&gt;How do you solve that on a gaming NUC?</t>
  </si>
  <si>
    <t>Luxury locations are going to gobble up all of those transparent LCDs and Frame Speakers.</t>
  </si>
  <si>
    <t>@@Toasted-Cat the air is venting right next to the SD card, which is the exact same issue the Ally had.</t>
  </si>
  <si>
    <t>@@CJTheTokay No they didn&amp;#39;t. Mine broke AFTER they said they fixed it. Don&amp;#39;t spread misinformation.</t>
  </si>
  <si>
    <t>MSI center looks like trash</t>
  </si>
  <si>
    <t>@@HAMMABR0 OK, thanks for the reply!</t>
  </si>
  <si>
    <t>SD card is in the same place as the ROG ALLY. Wonder if they will fry just the same. Broke 2 1tb cards of mine.</t>
  </si>
  <si>
    <t>Great video Engadget!  Do you know if the USB-C port on the Claw can be used for display output to a monitor?</t>
  </si>
  <si>
    <t>Interesting that they went with Intel chip.  The last game console that used Intel was the original Xbox.  AMD has been used in all consoles except for the Nintendo Switch which uses Nvidia.</t>
  </si>
  <si>
    <t>Can the vacuum robot climb stairs else they are like the daleks</t>
  </si>
  <si>
    <t>Not a bad looking car tbh. As long as we can turn off motion blur i&amp;#39;m for it!</t>
  </si>
  <si>
    <t>The Honda Play-$tation EV-Car _xD83E__xDD14__xD83D__xDCA1__xD83C__xDF10__xD83D__xDCF1_</t>
  </si>
  <si>
    <t>&lt;a href="https://www.youtube.com/watch?v=iqpABS2UMRc&amp;amp;t=2m10s"&gt;2:10&lt;/a&gt; This is exactly what the world needs. Listen to Joscha Bach, Elon Musk and any smart guy. Lawmowers. Laws should have a dependencylist and should be continously redeployed or shut down</t>
  </si>
  <si>
    <t>The Super cards are still too expensive for what they deliver.&lt;br&gt;&lt;br&gt;PC gaming is officially dead. Nvidia killed it.&lt;br&gt;&lt;br&gt;Thankfully, there are some interesting-looking APUs from AMD coming soon. Maybe I&amp;#39;ll take one of those and build a nice ITX computer for running office apps and streaming apps.</t>
  </si>
  <si>
    <t>maybe they are smart</t>
  </si>
  <si>
    <t>Damn.. Very professional and entertaining! _xD83D__xDE00_</t>
  </si>
  <si>
    <t>How did you film that? Just wow</t>
  </si>
  <si>
    <t>&lt;a href="https://www.youtube.com/watch?v=NPDS33uD5j4&amp;amp;t=6m54s"&gt;6:54&lt;/a&gt; Such a Micro LED Panel would be enough for me..</t>
  </si>
  <si>
    <t>@@miscellaneousone Yes, people need to know about what&amp;#39;s coming incase they want to build or upgrade. It&amp;#39;s just that the direct storage tech seems worthless if no gamess are using it in 2024.  And I was hoping there would be quite a few games using it at this point so pcie 4.0 can seem like a worthy upgrade _xD83D__xDE01_</t>
  </si>
  <si>
    <t>That&amp;#39;s fine, with GPUs hardly any difference if anything. And with storage speeds unless your constantly moving data pcie 3.0 is fine, and direct storage is a complete joke at this point. No games announced this yr using it plus 3.0 is fast as hell even with the 2 games that use it_xD83E__xDD23_ DS is a joke and a waste.</t>
  </si>
  <si>
    <t>How&amp;#39;s Intel with their Battlemage GPUs? Oh what&amp;#39;s that, nothing to show? That&amp;#39;s what I thought _xD83E__xDD23_ Pretty sad not even a small demo of one. As usual Nvidia will always be miles ahead and Intel behind with their GPUs. I would like a choice between Intel and Nvidia  in the 4070/4070 Ti category but it looks like that will not happen.</t>
  </si>
  <si>
    <t>Luckily, the government has not mandated that you purchase the V2.  Your wallet and emotions will be intact, and nobody will be kicking your door in to confiscate your V1. _xD83D__xDE0A_</t>
  </si>
  <si>
    <t>I hope Lon gets a chance to review the telescope.</t>
  </si>
  <si>
    <t>The Water Cube is interesting..</t>
  </si>
  <si>
    <t>Personally, I think it&amp;#39;s 100% the future of computing and interacting with the internet. Right now it&amp;#39;s just a matter of picking who will be successful in the space beyond major players like Valve or meta.</t>
  </si>
  <si>
    <t>8 more minutes of nothing but your talking head...you have lost me.</t>
  </si>
  <si>
    <t>The exploding pen I bought from a comic book ad actually worked.</t>
  </si>
  <si>
    <t>Will you be checking out the EV&amp;#39;s?</t>
  </si>
  <si>
    <t>Don’t get a smoker, smoked meat increases all cancer especially pancreatic cancer</t>
  </si>
  <si>
    <t>Asus 32&amp;quot; 4K flat will cost 1,800 EUR in Germany. So it&amp;#39;s around $2K for Europe</t>
  </si>
  <si>
    <t>@@alfgamingtv7715The DW actually launched at $1299!</t>
  </si>
  <si>
    <t>wow 1200$ for a 4k qd-oled gen 3? remembering 1200$ for aw3423dw in 2022. thx betatesters.</t>
  </si>
  <si>
    <t>yeah it is a true legit idea to run static cnn logos 24/7 and then &amp;quot;report&amp;quot; somthing. just brilliant.</t>
  </si>
  <si>
    <t>yes i do agree. just makes 0 sense.</t>
  </si>
  <si>
    <t>it is gen 3</t>
  </si>
  <si>
    <t>glare free - semi matte coating. on oled - noone asked about it. &lt;br&gt;white bezzels to distract players. no thx - at least other vendors did that full glossy and perfect thin/black bezels.</t>
  </si>
  <si>
    <t>What about the Neo G9 57“? I saw on another video that it‘s displayed at CES 2024 as well. Were there any changes on that one?</t>
  </si>
  <si>
    <t>What happened to the mysterious dual screens OLED device?</t>
  </si>
  <si>
    <t>Yup epic samsung fail everything in matt finish good luck with that _xD83D__xDE02_</t>
  </si>
  <si>
    <t>How do you know if they did not ask the right audience (gamers) to participate in their market study? What you are saying is your own opinion/impression and it is valid. HOWEVER, just know that your impression is based on your own observations which are are very biased.&lt;br&gt;&lt;br&gt;Thus, unless you participated in their study or have done your own proper market study, it remains your own opinion and therefore,  it is not representative of the whole community. To talk the way you did is very condescending, borderline arrogant.   @@user-yw9dm3tk1g</t>
  </si>
  <si>
    <t>Facts my g ONG</t>
  </si>
  <si>
    <t>​@@user-yw9dm3tk1gso you&amp;#39;re basically saying that instead of acting based on  the results  found  in their market study/analysis , they lied instead of making money? Sure... They must love wasting money on hypothetical market studies huh?  Wake up my guy, you&amp;#39;re not the center of the world, you are not representative of the whole community, you are biased...</t>
  </si>
  <si>
    <t>Be cool to see stuff with less RGB and a minimalistic look..</t>
  </si>
  <si>
    <t>@@POVwalkswithrovingcyclops It&amp;#39;s a matter of time before they do! Look at other countries forcing their citizens to pay for it already.</t>
  </si>
  <si>
    <t>I agree, I am completely disappointed in them.</t>
  </si>
  <si>
    <t>Just you, but thanks for your input.</t>
  </si>
  <si>
    <t>Man it is the best design, good display of thw hardware, fans, great cooling. I am happy to see more alternatives, specially Lian Li lost its north...</t>
  </si>
  <si>
    <t>I can&amp;#39;t believe any company reached perfection with the double side case... just 3 140mm/420rad top bottom and dual 140mm/280 rad on the side, one real 140mm rear... it is too easy. But every company is doing it too big, or only 120mm ot mixing them...</t>
  </si>
  <si>
    <t>Don&amp;#39;t do it</t>
  </si>
  <si>
    <t>&lt;a href="https://www.youtube.com/watch?v=fAdnFU3uVAE&amp;amp;t=3m35s"&gt;3:35&lt;/a&gt; what PC case or system is that?</t>
  </si>
  <si>
    <t>Beautiful! I can&amp;#39;t buy but beautiful ❤</t>
  </si>
  <si>
    <t>Bad idea for the power connectors and other connections be placed in the back of the motherboard. The more you flex wires, the more you can break them and cause fires. Invent a power plugs and connections that can be pivoted. By the way, can ASUS team ask that beautiful Chinese woman @ &lt;a href="https://www.youtube.com/watch?v=fAdnFU3uVAE&amp;amp;t=2m26s"&gt;2:26&lt;/a&gt; sponsering the ROG NUC PC for her phone number? I was immediately attracted to her.</t>
  </si>
  <si>
    <t>custom watercooling is just a big waste of money. (ok as a hobby)</t>
  </si>
  <si>
    <t>Some things are just too complicated to be mass produced at a reasonable per unit cost. CoolerMasters &amp;quot;Shark X&amp;quot; is one of those products.</t>
  </si>
  <si>
    <t>For the NR200V2, they should&amp;#39;ve moved the graphics card slots a tiny bit higher so you can slide a full size 120mm fan beneath it comfortably.</t>
  </si>
  <si>
    <t>i love how brian snatched a third muffin&lt;br&gt;thats so me xD</t>
  </si>
  <si>
    <t>and omg those walking things have a great design i could see being implemented in vr applications.</t>
  </si>
  <si>
    <t>i want that ice cream machine for obv reasons</t>
  </si>
  <si>
    <t>Like this brand. Awesome look.</t>
  </si>
  <si>
    <t>White is the new black. Gracias Leo! Amazing _xD83D__xDC4F_</t>
  </si>
  <si>
    <t>It’s lose. Why doesn’t everyone always write loose. Mom joke somewhere in there</t>
  </si>
  <si>
    <t>where are the gaming monitors oled 4k 240hz and 480hz 1080p mode</t>
  </si>
  <si>
    <t>CAN YOU FIX ARMOURY CRATE PLZ</t>
  </si>
  <si>
    <t>Flat monitors are really unideal in comparison to curved, and cause more eye strain. Every maufacture talks about why 1000r curved is ideal on their website yet they release flat monitors in 2024.</t>
  </si>
  <si>
    <t>nice clean format. wish american accents would stop saying &amp;quot;super excited&amp;quot;...it&amp;#39;s super boring and uncreative/imaginative</t>
  </si>
  <si>
    <t>where was the blue laptop from the thumbnail???!? WE NEED MORE HIGH-END BLUE LAPTOPS!!</t>
  </si>
  <si>
    <t>❤Z.E.P.H.G❤</t>
  </si>
  <si>
    <t>❤كان بث رائع❤</t>
  </si>
  <si>
    <t>!!!!!!(!)#@)*#$)</t>
  </si>
  <si>
    <t>تصميم أداء خفة سرعه تبريد أناقه سهولة تجربة خارقه وأحترافيه أنها بالتأكيد&lt;br&gt; (❤️ROG❤️)&lt;br&gt;Design, performance, lightness, speed, cooling, elegance, ease, extraordinary and professional experience, it is definitely&lt;br&gt; (❤️ROG❤️)</t>
  </si>
  <si>
    <t>I watched the broadcast second by second and it was amazing❤</t>
  </si>
  <si>
    <t>No vapor chamber and no ram upgrade on g14. And OLED??? Nahhh. RIP G14</t>
  </si>
  <si>
    <t>G14 looking pretty for a gaming laptop. Cute. _xD83C__xDF38_</t>
  </si>
  <si>
    <t>Sick !</t>
  </si>
  <si>
    <t>Chariot 2 ?</t>
  </si>
  <si>
    <t>What about 800r 27&amp;quot; monitor ?</t>
  </si>
  <si>
    <t>Soo awesome stuffs Asus ROG great job</t>
  </si>
  <si>
    <t>Need me one of each product for real.Simply outstanding, gotta love it</t>
  </si>
  <si>
    <t>Do you know anything about the ASUS ROG Flow Z13/14 series?</t>
  </si>
  <si>
    <t>Where is the new rog strix laptop?</t>
  </si>
  <si>
    <t>4K 240hz with 1080p 480hz mode OLED monitor for only 1199. Let’s Go !!!!</t>
  </si>
  <si>
    <t>4K 240hz with 1080p 480hz OLED for only 1199, let’s go!!!!</t>
  </si>
  <si>
    <t>Yesss please _xD83C__xDF89_</t>
  </si>
  <si>
    <t>that pump top idea is cool.</t>
  </si>
  <si>
    <t>wonder how that aquarium case will compare with the lian li&amp;#39;s</t>
  </si>
  <si>
    <t>for a second I thought leo said two of the corsair employees were called ratchet and clank !</t>
  </si>
  <si>
    <t>​@@Too-OddMore zones won&amp;#39;t fix anything.&lt;br&gt;&lt;br&gt;The LCD TV that came the closest to OLED is the now-discontinued Hisense U9DG Dual Cell LCD TV which has over 2 Million local dimming zones thanks to its secondary 1080p grayscale panel and even THAT number of zones is a far cry from the 8.2 Million pixels of 4K resolution. _xD83E__xDD23__xD83E__xDD23__xD83E__xDD23_</t>
  </si>
  <si>
    <t>​@@DBallSmithda3rd​&amp;quot;No one will never top&amp;quot;&lt;br&gt;&lt;br&gt;Double negation which means someone WILL top the U8K.&lt;br&gt;&lt;br&gt;_xD83E__xDD23__xD83E__xDD23__xD83E__xDD23_&lt;br&gt;&lt;br&gt;Stay in school you delusional fool.</t>
  </si>
  <si>
    <t>​@@MisterRhulDSC is a COMPRESSION method.&lt;br&gt;&lt;br&gt;NOT an upscaling technology.&lt;br&gt;&lt;br&gt;YOU have no idea what you&amp;#39;re talking about. _xD83E__xDD23__xD83E__xDD23__xD83E__xDD23_</t>
  </si>
  <si>
    <t>​@@HishamHossainM for Master and P for Peasant.</t>
  </si>
  <si>
    <t>False.</t>
  </si>
  <si>
    <t>M for Master.&lt;br&gt;&lt;br&gt;P for Peasant.</t>
  </si>
  <si>
    <t>​@@bayo9811He probably meant Asus switching panel types.</t>
  </si>
  <si>
    <t>​@@HishamHossainLG??&lt;br&gt;&lt;br&gt;They don&amp;#39;t make QD-OLED panels.</t>
  </si>
  <si>
    <t>DisplayPort 2.1???</t>
  </si>
  <si>
    <t>Gigabyte does.</t>
  </si>
  <si>
    <t>These monitors aren&amp;#39;t worth buying if they don&amp;#39;t have DisplayPort 2.1</t>
  </si>
  <si>
    <t>3D is meant for OLED panels.&lt;br&gt;&lt;br&gt;I love 3D! _xD83D__xDE0E__xD83D__xDC4D_</t>
  </si>
  <si>
    <t>_xD83D__xDE02__xD83D__xDE02__xD83D__xDE02_</t>
  </si>
  <si>
    <t>Just gove me the successor to the Sony X85K. The L version overseas is the $1000 plus X90 here</t>
  </si>
  <si>
    <t>Samsung always kicking ass, i can&amp;#39;t wait getting my S24 ULTRA this month , upgrading from Note 20 Ultra, always is the best there in every year!&lt;br&gt;comes to ice cream thing u showed, NOTHING beats my Ninja creamie Delux ice cream maker &amp;amp; do a lot more as i bought few months ago , absolutely LOVIN IT &amp;amp; i know what is in it_xD83D__xDC4C__xD83D__xDC4D_</t>
  </si>
  <si>
    <t>I&amp;#39;m pretty sure INTEL was the one who probably approached MSI some time back since AMD is the one who&amp;#39;s dominating the handheld market and its a smart business move and it provides health competition for AMD so they get pushed to innovate as well.</t>
  </si>
  <si>
    <t>You got that right, got one  in 85 for $1800, you cant f*n beat that</t>
  </si>
  <si>
    <t>Haha, no wonder f*n SONY , DON&amp;#39;T SHOW UP IN THE CES shows ANYMORE, he knows they got f***Ked these days ,Sony who_xD83D__xDE1C__xD83E__xDD23__xD83E__xDD23_</t>
  </si>
  <si>
    <t>Pure flying BS.</t>
  </si>
  <si>
    <t>Palm Plug going to get bought _xD83D__xDE0A_</t>
  </si>
  <si>
    <t>getting ready for the 115 inch one</t>
  </si>
  <si>
    <t>Caleb, you absolutely hit the nail on the head there with respect to that TCL sound bar. Under no circumstances should any company EVER put a high-gloss finish on the top of a sound bar. Nor should they EVER put any type of decorative lighting on the top of one either. Frankly, as smart as TCL is, I&amp;#39;m amazed that they even showed a bar at CES with both of those mistakes on it. They really shouldn&amp;#39;t have (because we already know they know better). As a side note, do you know who clearly doesn&amp;#39;t know better? Bose, of all people. Their new Sound Bar Ultra that just recently came to market has a high-gloss, piano-black finish on the top of it that simply acks like a MIRROR when placed in front of a TV (where most people are likely to put it). Yes, that&amp;#39;s right. Bose let a sound bar of theirs go all the way out to market/production with one of the biggest &amp;quot;cardinal sins&amp;quot; that any soundbar manufacturer can make. It just goes to show you that even big, multi-million-dollar companies with tons of really smart people working for them can STILL make horribly bad mistakes.</t>
  </si>
  <si>
    <t>&lt;a href="https://www.youtube.com/watch?v=BcZZOIdpISw&amp;amp;t=6m14s"&gt;6:14&lt;/a&gt; A ring like that can be perfect for air gestures. Imagine using this type of electronic ring to answer calls, fast forward a scene or replay a tutorial when engaged in other activities. This tech is awesome _xD83D__xDE0E__xD83D__xDC4D__xD83C__xDFFF_.</t>
  </si>
  <si>
    <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Take note, God is Spirit and those who worship Him should do so in spirit and truth (genuinely by living the Word).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</si>
  <si>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This was so well done. Your b roll, writing, the prompting and allowing your interview clips to explain fluidly rather than having to set up every one of ur questions literally. How you had. System for each product (show, why it exists, how it works, why it matters) and how you combined it all themed to accessibility with well thought out realistic benefits and features. Even the emotional type of takes like “taking for granted” felt so genuine too!  Prop. Not many CES videos showed me any products I’d care about and often they hyped things I felt were so stupid or old or not even explaining anything tech wise. This got me so excited and i want them to win and get more funding and attention so bad. I wouldn’t even be the one benefiting the tech here probably but I want those who need it to be able to have it and hopefully affordably eventually!! Respect to you sir! Subbing right now!</t>
  </si>
  <si>
    <t>damn that was really nice especially tech for blid, i think it needs more improvement but stil DAMN!</t>
  </si>
  <si>
    <t>Everything time you went “awesome” or “so cool” or said “innovative” I felt myself dying inside. This is so sad to see CES turn into products I’ve seen on Wish already or the dumb kinda working 3D tech no one wanted in 2013 CES (oh but this one had no glasses and kinda maybe works maybe even in their own perfect conditions it wasn’t perfect but “wow”). Like the dude spent 3 mins talking about anti-glare tv while I work off a nano-textured display at my desk that’s 5 years old now. The iPhone stand has a swivel wow. Belkin! They got a patent on that swivel that’s as good as a wheel. Can’t believe they invited that.  WOW!! that tracking one looked like it was starting at your chest and moved so much for no reason. This is so sad. That self cleaning robot is now 10 years old tech and the fact that they changed the brushes to pick up hair better maybe (without you even testing it) is what you called new really cool “innovation”….</t>
  </si>
  <si>
    <t>@@AdzJz-or5kr the problem with ur point is that the main thing CES produced was tech that showed off start ups new licensable innovations. Like yah maybe all those sensor things didn’t come out. But the people who invited those sensors would now license or sell off the tech/patents to others. Like how the indoor plant growing sensor tech that did come out eventually was born from random CES tech years before. None of this “innovation” in 2022 or 2023 is anything any company couldn’t do themselves for a fraction of the price without buying out or licensing it from the CES people now. The GPU’s arnt what people even look for at CES. The bigger booths like Nvidia don’t even let you see the stuff. You need to be a huge company to make an appointment and they have private meeting rooms there it’s not even for the attendees anymore where they had open areas and people to show things off to you.</t>
  </si>
  <si>
    <t>It has been. I’ve been going forever as a local and who’s been in tech since I was a teen. I’ve been to 15 CES’s over the years. It’s always been like “well this is cool but I’ll never see this mass produced” but I don’t even think any of 2023 CES tech required them to design anything new. Probably not one new patent was needed for any of these things.</t>
  </si>
  <si>
    <t>&amp;lt;|&amp;gt;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</si>
  <si>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&amp;gt;&amp;gt;&amp;lt;&amp;lt;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</si>
  <si>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&lt;i&gt;⟩⟩&lt;/i&gt;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Take note, God is Spirit and those who worship Him should do so in spirit and truth.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</si>
  <si>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Poor cat.  Bringing gifts back to their owner only to be told by a door to drop it.</t>
  </si>
  <si>
    <t>Amazing! Hope I can visit there too _xD83D__xDE0D_</t>
  </si>
  <si>
    <t>its not even that bad, I&amp;#39;ve heard way worse. Like a german person who lived in france their whole life and now trying to speak english, its something else when you hear two accents mixed</t>
  </si>
  <si>
    <t>No everyone is using the same shape cause it&amp;#39;s the most aerodynamic, look up Hyundai seven concept, and mini urbanaut concept</t>
  </si>
  <si>
    <t>You still wont be looking directly at the camera which would in the middle of the screen, most of the time, plus that also means your partner will be looking at you through the UI of the computer which will be distracting and see everything on your screen whether you share it or not, which is not a good use case&lt;br&gt;Plus Nvidia already made Ai softwares that can digitally turn your eyes towards the camera which look fairly natural and are just getting better</t>
  </si>
  <si>
    <t>Yeah mini led can&amp;#39;t be transparent because it&amp;#39;s just lcd with mini led as backlight</t>
  </si>
  <si>
    <t>If going 100&amp;quot; +... why not go with a projector? Pro&amp;#39;s / Con&amp;#39;s?</t>
  </si>
  <si>
    <t>Guessing judder solution?</t>
  </si>
  <si>
    <t>Most of thr world doesn&amp;#39;t have walls to fit them tbh</t>
  </si>
  <si>
    <t>Sony is going to release displays with very high brightness, like 4,000 to 5,000 nits.</t>
  </si>
  <si>
    <t>A non glossy OLED what’s next?  We got to get back to basics and fundamentally change and improve the display technologies forever</t>
  </si>
  <si>
    <t>Samsung is god tier tech</t>
  </si>
  <si>
    <t>H to the izz-O, V to the izz-A&lt;br&gt;Welcome ladies and gentlemen to the eighth wonder of the world&lt;br&gt;The flow of the century, oh it&amp;#39;s timeless. HOV&amp;#39;!&lt;br&gt;Thanks for comin&amp;#39; out tonight&lt;br&gt;You coulda been anywhere in the world, but you&amp;#39;re here with me&lt;br&gt;I appreciate that, uh</t>
  </si>
  <si>
    <t>@@dshawnspjute6305 then don’t call it “Glare Free”. from the video, it looks it spreads the glares more by diffusing it. The glare free on the right takes up more space.</t>
  </si>
  <si>
    <t>Glare free = still has glare. Why lie Samsung?</t>
  </si>
  <si>
    <t>❤exciting _xD83C__xDF89_</t>
  </si>
  <si>
    <t>This is going to be a blockbuster year for TVS. The big 3 and TCL and Hisensr have brought their A games to CES 2024._xD83D__xDE0A_</t>
  </si>
  <si>
    <t>Gimmick</t>
  </si>
  <si>
    <t>Wow</t>
  </si>
  <si>
    <t>Many reasons why 8K has not taken off 1) no visual difference with 4K until you get well over 100 inches of display size 2) extra expensive equipment to film such videos 3) maybe 4x the bandwidth needed for streaming which no streaming platform will want to deal with 5) for these reasons little 8K content available</t>
  </si>
  <si>
    <t>@@mattb4251 actually we are headed in the opposite direction with streaming.  The standard plan for Netflix is actually streaming at 720p.  I didn&amp;#39;t know that - I assumed it was still 1080p and 6-7 mbps but they had dropped it to 720 and 1mbps for most movies.&lt;br&gt;&lt;br&gt;Now, I did upgrade to the 4k and there&amp;#39;s a way to test that on browsers as Chrome is limited to 720p while IE Chromium uses 4k and the Alt-Tab then allows you to switch and do a blind test.&lt;br&gt;&lt;br&gt;If it was not for Planet Earth having a little more detail when I stopped the image and looked at the branches, I swear to god that I would have been 100% convinced that Netflix&amp;#39;s 16mbps 4k DV is the same as Netflix&amp;#39;s 1mbps 720p, just replicating data on the bitrate and fooling us.  I can&amp;#39;t even tell you how long I tested it and how many movies I used.  It was absurd and I would pull up the details to check the bitrate all the time...  You can&amp;#39;t tell the difference in regular movies except taking an image and perhaps zooming in.  It was such a letdown that I actually stuck with the Standard plan cause what&amp;#39;s the point of paying for nothing visible.&lt;br&gt;&lt;br&gt;And I was 2 feet away with magnifying glasses from the screen so the odds of a normal human seeing a difference are zero.&lt;br&gt;&lt;br&gt;If 720p is the same as 4k streaming, then what&amp;#39;s the point of 8k?  It probably looks identical to 720p.</t>
  </si>
  <si>
    <t>@@paradisewildchild Yet no one has shown HDR vs SDR side-by-side and I&amp;#39;ve even asked Vincent Teoh to do one but he hasn&amp;#39;t because it&amp;#39;s not good.  &lt;br&gt;&lt;br&gt;I have an OLED laptop that does 1,000 nits full window (brighter than all your LEDs) and I used Google Chrome for SDR Netflix and IE Edge for HDR DV.&lt;br&gt;&lt;br&gt;You can then use Alt-Tab to A/B blindly since my windows are identical and eventually you can&amp;#39;t tell which window you&amp;#39;re looking at.&lt;br&gt;&lt;br&gt;I don&amp;#39;t think HDR is bad but when you see a SDR picture with full brightness, it reminded me of the S90C next to the X90L where the S90C just ran out of juice and looked dim next to the X90L.&lt;br&gt;&lt;br&gt;That&amp;#39;s sort of how HDR looks which is why you will never see a real SDR screen capable of blinding highlights against a HDR screen.&lt;br&gt;&lt;br&gt;&lt;br&gt;SDR is not bad and has zero of the lighting issues that HDR has so you can enjoy everything out of the box.&lt;br&gt;&lt;br&gt;TV manufacturers replaced 3d with it but they bambozled all of us for 5 years as most TVs couldn&amp;#39;t do HDR highlights and even now it&amp;#39;s a pita to get HDR working fine - it depends on the content.</t>
  </si>
  <si>
    <t>what&amp;#39;s the point of either of these?  44 inches requires nearly double the distance to a 27 inch and a 52 inch requires a special working arrangement (the monitor is on the wall and you have the deepest desk in the world or space between your desk and the wall).  A 32 inch beats both as you can place it closer, get a FOV that&amp;#39;s not 360 degrees and save some money and a wall. &lt;br&gt;&lt;br&gt;As for 8k, distance makes it irrelevant as 4k is more than retina level.  You may argue 1440p is retina.  Might as well talk about 32k or 96k - let&amp;#39;s light up 500 million pixels!!!  It doesn&amp;#39;t even make sense at CES where they create folding OLED TVs that you can unpack on the battlefield and create a bullet-proof transparent movie theater.  &lt;br&gt;&lt;br&gt;Who&amp;#39;s got the OLED?  Don&amp;#39;t break it!!! I need to watch the last episode of Fargo!!!  RPG incoming!!!  Wait, it&amp;#39;s not real, someone&amp;#39;s watching Rambo 2!!!</t>
  </si>
  <si>
    <t>@@TheMamaluigi300 Yeah, it stands to reason that would be the case BUT in Caleb&amp;#39;s review of the M3, my impression (and I could be wrong) is that he mentioned that it&amp;#39;s the unencoded signal and there were quality ratings.&lt;br&gt;&lt;br&gt;Aside from the health concerns of all that data, it makes no sense because 6 megabytes per second is what the PS5 NVMEs can do and they are literally integrated on the board.  I copy games from 1 NVME to another NVME on my PS5 and I never get those advertised read/write speeds. Wirelessly sending that data is bonkers when Wifis top out at 300-400Mbps which is 50 Megabytes per second. We&amp;#39;re talking 6 Gigabytes per second (48Gbps) which is crazy - it&amp;#39;s 120x faster than Wifi.  &lt;br&gt;&lt;br&gt;Not talking 1x or 2x or 3x faster but 120x faster.</t>
  </si>
  <si>
    <t>Sony missing sir ji</t>
  </si>
  <si>
    <t>The only practical TVs were the TCL QM8 and QM7 (essentially this year&amp;#39;s QM8 is rebadged as QM7).&lt;br&gt;&lt;br&gt;This year can be called the &amp;quot;Return of the LED&amp;quot; because they are coming up with crazy numbers of dimming zones and nits - it will be interesting to see OLEDs next to them.  &lt;br&gt;&lt;br&gt;Sony is definitely looking to disrupt the LED market so that&amp;#39;s the number one thing.  &lt;br&gt;&lt;br&gt;Samsung&amp;#39;s anti reflection is impressive because it seems to lose little vibrancy (wetness) in exchange for it.</t>
  </si>
  <si>
    <t>About the M4, you have to wonder if it&amp;#39;s sending the decoded signal over the air which is up to 6 gigabytes per second and a serious health consideration.  Who wants 24 Terabytes passing through them over a 2 hour movie?  You may as well live next to the busiest cell tower in New York City...  If it&amp;#39;s the undecoded signal, then perhaps it&amp;#39;s ok.</t>
  </si>
  <si>
    <t>For the hdmi devices. If hdmi 2.1 really does everything before hand. backwards capable. Just tell them to implement all the hdmi slots 2.1. Doesn&amp;#39;t make any sence seeing hdmi 2.0 or 1.4 mixed with hdmi 2.1.  Some people got all the next gen consoles a new computer, receiver. &lt;br&gt;Hope to see nice tech at CES. Maybe ill see them at the Best buy coming march.</t>
  </si>
  <si>
    <t>An awesome round-up!! Drop by and say g&amp;#39;day to the espresso Displays team at The Venetian Expo _xD83D__xDE04_</t>
  </si>
  <si>
    <t>My WiFi has gotten worse as i have a m1 imac , how can an internet connection get worse over the years&lt;br&gt;&lt;br&gt;When will we get 1gb connections in the uk as standard as my internet connection struggles with zoom calls with a good internet connection&lt;br&gt;&lt;br&gt;With nvidia noone is going to buy them as the cards are way to expensive</t>
  </si>
  <si>
    <t>Is there a team of ltt people at ces 2024</t>
  </si>
  <si>
    <t>&lt;a href="https://www.youtube.com/watch?v=JqQAFodjYBk&amp;amp;t=7m37s"&gt;7:37&lt;/a&gt; He&amp;#39;s not chris pratt, but he sure does a better Mario impression.</t>
  </si>
  <si>
    <t>Thermal throttling</t>
  </si>
  <si>
    <t>@@superiortoall22 ah I thought you were talking about laptops, I watched the phone section again and I can&amp;#39;t find the part you&amp;#39;re talking about?</t>
  </si>
  <si>
    <t>microsoft provides OS updates, not Asus, ROG is a series of devices ffs man</t>
  </si>
  <si>
    <t>Didnt they push the envelope by jerryrig everything breaking the phone in his durability test</t>
  </si>
  <si>
    <t>Why does everyone copy apples bad presentation as you can have a presentation and say nothing &lt;br&gt;There monitor names are instantly forgetable &lt;br&gt;I wish when doing these presentation they would understand how things like memory works</t>
  </si>
  <si>
    <t>Ai baille cant do stairs like most robots like hoover robots &lt;br&gt;Have they got rid of bixby &lt;br&gt;Why do you need ai assistants when you have a phone</t>
  </si>
  <si>
    <t>A dystopian nightmare</t>
  </si>
  <si>
    <t>It is like an echo chamber for lg &lt;br&gt;It is sad as lg holds patents for rollable tvs which could be used in everything from watches to laptops to phones &lt;br&gt;&lt;br&gt;With some of this tech you have to wonder why ? &lt;br&gt;Why do i need an ai assistant when i have a dog and it cant climb stairs like most robots &lt;br&gt;What they dont understand is customers hate subscriptions for everything, i hate subscriptions for eveything&lt;br&gt;With the car it was pointless you are going to be doing some online shopping and crash the car &lt;br&gt;Where is the practical side of this tech as when are these companies going to live in the real world where we are not going to have an lg fridge and dishwasher &lt;br&gt;Lg have some cool tech with there rollable screens that could be used in every device with a screen &lt;br&gt;They are becoming like the xerox parc of tech</t>
  </si>
  <si>
    <t>Can you program the auto tracking stand to snap and zoom into the person who farts in the room at a party, then show it up on the big screen live.</t>
  </si>
  <si>
    <t>Well go see it, it’s on everyone else channel along with MacBook Pro. He wants you to subscribe to see the macs, as if there’s no where else to see them, such a joke.</t>
  </si>
  <si>
    <t>Yeah i want to see intel step it up a notch or two. 3 party gpu releases makes all gamers win.</t>
  </si>
  <si>
    <t>Need that sweet monitor news my dude. any oled that includes black frame insertion of some kind? Hell my sony xperia 1 mark 2 does it and watching movies/anime, ZERO judder. Meanwhile my first gen qd-oled aw3423dw has the worst judder of all time making movie/anime look like ass. really need black frame insertion on oled like phones/tvs. I kinda hope Sony drops an oled gaming monitor with bfi since im using bfi on my sony phone and its flawless.</t>
  </si>
  <si>
    <t>No additional cus over it’s non-xt variant is a complete joke and if amd had any decency, they would unlaunch their 7600, call this the 7600, and price it at 270. What a joke. It’s no wonder they spent like 30 seconds showing this at their latest presentation</t>
  </si>
  <si>
    <t>AMD is taking advantage of Intel</t>
  </si>
  <si>
    <t>wtf ai fridge</t>
  </si>
  <si>
    <t>Speaking off whole home battery, I think the EP cube seems really interesting.</t>
  </si>
  <si>
    <t>Not the first of the cone of silence masks, doubt it will be the last.</t>
  </si>
  <si>
    <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Take note, God is Spirit and those who worship Him should do so in spirit and truth (genuinely by living the Word).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</si>
  <si>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&lt;a href="about:invalid#zCSafez"&gt;&lt;/a&gt;&lt;a href="about:invalid#zCSafez"&gt;&lt;/a&gt;&lt;a href="about:invalid#zCSafez"&gt;&lt;/a&gt; Can you cover the Mullen RS booth. They are supposed to be showing off their new RS model today.</t>
  </si>
  <si>
    <t>300 dollar toaster _xD83D__xDE02_</t>
  </si>
  <si>
    <t>Most custom mechanical keyboards are repairable. Keychron is a popular company</t>
  </si>
  <si>
    <t>Was waiting for this</t>
  </si>
  <si>
    <t>No audio - will check ya later Lon - have fun !</t>
  </si>
  <si>
    <t>&amp;gt;&amp;lt;&amp;gt;&amp;lt;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Take note, God is Spirit and those who worship Him should do so in spirit and truth.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</si>
  <si>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you could remove the driver seat and design a car as a living room, driver with AI, and controlled from the table of the living room, which could be a giant tablet to play games or movies.</t>
  </si>
  <si>
    <t>The little racers by carrera were my surprise highlight. _xD83D__xDE0A_&lt;br&gt;First something like Anki, but if you take a closer look, it&amp;#39;s so much more fun. _xD83E__xDD29_</t>
  </si>
  <si>
    <t>If you find the small Carrera stand, please stop by. &lt;br&gt;The little racers were my surprise highlight. _xD83D__xDE0A_&lt;br&gt;First something like Anki, but if you take a closer look, it&amp;#39;s so much more fun. _xD83E__xDD29_</t>
  </si>
  <si>
    <t>Good point seems like a lot of these things never see the light of day</t>
  </si>
  <si>
    <t>Great job, would be nice if you included the cost and release dates</t>
  </si>
  <si>
    <t>if you have to wait for a minute and a half. its not instant.</t>
  </si>
  <si>
    <t>Is it because you are confusing backlighting technology and panel technology?</t>
  </si>
  <si>
    <t>My main problem is that mini leds seem to have a high pixel response time so even though it’s a 120 hz it might still be blurry when playing games. No one seems to cover this with TVs like they do with monitors. And the mini led monitors that are out have bad pixel refresh rate</t>
  </si>
  <si>
    <t>Those ski wheel things are the perfect mode of transport in a European city</t>
  </si>
  <si>
    <t>That would be pretty sick. It might not look so great if it did that on multiple speakers though</t>
  </si>
  <si>
    <t>I think transparent displays primary purpose is ads and marketing. I don&amp;#39;t see them being very useful/widely adopted for home use.</t>
  </si>
  <si>
    <t>Those Samsung frame speakers are basically a clone of IKEA&amp;#39;s Symfonisk Sonos wall speakers.</t>
  </si>
  <si>
    <t>Wow, shocker. Women also like to receive massages. Were you people raised in a lab or what is wrong with you? _xD83D__xDE44_</t>
  </si>
  <si>
    <t>That&amp;#39;s been a thing over ten years ago already and it didn&amp;#39;t catch on. So, you&amp;#39;re wrong. Pet microchips and pet doors that respond to them are even older than that.</t>
  </si>
  <si>
    <t>The machine that magically pulls water from the air is just a dehumidifier.</t>
  </si>
  <si>
    <t>They&amp;#39;d only announce that in their PlayStation showcase, and chances this year are slim to 0. PS5 is still early in its life cycle, couple more years and it&amp;#39;s midway.</t>
  </si>
  <si>
    <t>Yo Fomo and Caleb_xD83D__xDE0A__xD83D__xDE0A_</t>
  </si>
  <si>
    <t>So excited for the new NEO qled lineup!</t>
  </si>
  <si>
    <t>Transparent looks interesting</t>
  </si>
  <si>
    <t>Omg and that 140’ _xD83D__xDE0E_</t>
  </si>
  <si>
    <t>Great work on the video</t>
  </si>
  <si>
    <t>I just have to know are people really buying 8k TV’s? It seems like people would know there is not much 8k to be found and probably won’t be found for a few years</t>
  </si>
  <si>
    <t>PS, the transparent TV’s are on a another level, love where that tech is going</t>
  </si>
  <si>
    <t>FOMO in his element _xD83C__xDF89__xD83C__xDF89__xD83C__xDF89_</t>
  </si>
  <si>
    <t>I can&amp;#39;t stand those kind of phones</t>
  </si>
  <si>
    <t>Its crazy how manufacturers are gaslighting us into believing we &amp;quot;benefit&amp;quot; from personalized ads... like wtf</t>
  </si>
  <si>
    <t>LG T will change the world forever</t>
  </si>
  <si>
    <t>Can’t wait to see the pricing on these bad boys.</t>
  </si>
  <si>
    <t>Massive is the right word alright _xD83D__xDE0A_</t>
  </si>
  <si>
    <t>Thanks. No minimal haha they had us at like 8ft away from the 115&amp;quot; in TCL suite.</t>
  </si>
  <si>
    <t>Good show yall keep it up _xD83D__xDE0A_</t>
  </si>
  <si>
    <t>Are you going to show us the tv as well _xD83E__xDD14_</t>
  </si>
  <si>
    <t>No info on the samsung gaming hub controller??</t>
  </si>
  <si>
    <t>I know right. Literally you could call any computer program AI if you wanted. It&amp;#39;s all just marketing buzzword hype.</t>
  </si>
  <si>
    <t>Underrated comment!</t>
  </si>
  <si>
    <t>YES WE NEED MORE AI YES ❤❤❤❤❤ AI WILL BE THE FUTURE OF HOME TECH _xD83D__xDE0A__xD83D__xDE0A_❤❤❤❤</t>
  </si>
  <si>
    <t>Everything in 2024 is AI.... If one day Skynet becomes a reality, man we&amp;#39;re f&amp;#39;d....</t>
  </si>
  <si>
    <t>Hidden stop signs?</t>
  </si>
  <si>
    <t>AI has become just another marketing buzzword.</t>
  </si>
  <si>
    <t>I have Casio A.I. working out the time on my wrist all day!</t>
  </si>
  <si>
    <t>take a shot every time they say AI, you’re gonna puke two minutes in_xD83D__xDE02_</t>
  </si>
  <si>
    <t>CES 2024 is BS vaporware. I do not believe anything anymore. Boring stuff. Why should I care about Ai taking over the world and my obsolete job and life?</t>
  </si>
  <si>
    <t>i give transparent TVs same life expectancy as to 3D TVs :D so like 2 years</t>
  </si>
  <si>
    <t>&lt;a href="https://www.youtube.com/watch?v=sy6DtXbPzeM&amp;amp;t=8m07s"&gt;8:07&lt;/a&gt; that bird binoculars are a very cool implementation of AI.</t>
  </si>
  <si>
    <t>CES 2024 is BS vaporware. I do not believe anything I see.</t>
  </si>
  <si>
    <t>BS stuff I do not need. Why?</t>
  </si>
  <si>
    <t>Their aircons suck though. Buy one at your own risk.</t>
  </si>
  <si>
    <t>Sony is tripping! Cars should be tools to get from point A to point B, not to play Fortnite wtf!</t>
  </si>
  <si>
    <t>BS.</t>
  </si>
  <si>
    <t>Nice hearing about which of these things he has.</t>
  </si>
  <si>
    <t>&amp;gt;&amp;gt;&amp;lt;&amp;lt;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5:19-26).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</si>
  <si>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5:19-26).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</si>
  <si>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​@@TBadylAlthoguh with translation, it&amp;#39;ll take about twice as long.</t>
  </si>
  <si>
    <t>&amp;lt;&amp;lt;&amp;gt;&amp;gt;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5:19-26).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</si>
  <si>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&amp;quot;AI&amp;quot; is certainly the catchword this year. All it means is that companies will snoop, buy, sell your data, and still charge you subscription fees. This CES 2024 is lacking in creativity and innovation.</t>
  </si>
  <si>
    <t>CES the consumer electronic show where the only people allowed in are not the everyday consumer.</t>
  </si>
  <si>
    <t>Loved this format of hitting the highlights quickly! Please do more as the show continues!</t>
  </si>
  <si>
    <t>Must visit west hall booth &lt;a href="http://www.youtube.com/results?search_query=%233141"&gt;#3141&lt;/a&gt;, 32inch light field 3D display is amazing</t>
  </si>
  <si>
    <t>Is there even a single object not made in China on display.</t>
  </si>
  <si>
    <t>I&amp;#39;m interested in Matter Smart Home devices _xD83E__xDD17_</t>
  </si>
  <si>
    <t>An OLED has 8,294,400 dimming zones. I.e. every pixel. Mini led can certainly improve and had it&amp;#39;s benefits such as cost especially at larger sizes but it will never be as good as OLED assuming an OLED exists that fits your use case and budget.</t>
  </si>
  <si>
    <t>This right here. The larger sizes should be compared to projectors. &lt;br&gt;&lt;br&gt;Cost isn&amp;#39;t even that bad really. Sure the top of the range won&amp;#39;t be cheap but a 98&amp;quot; QM8 once prices have reduced after 6 months will easily be comparable price wise to a reasonable projector plus screen but destroy it on image quality.</t>
  </si>
  <si>
    <t>4K is enough for all TV sizes assuming you don&amp;#39;t sit extremely close to the TV. If you sit close enough to actually notice the difference between 4K and 8K you&amp;#39;d have to turn your head side to side to view the full screen. &lt;br&gt;&lt;br&gt;TV size and viewing distance have a linear relationship to achieve the same viewing angle so you never sit close enough for 8K to make a difference.&lt;br&gt;&lt;br&gt;As a resolution for normal TV viewing 8K is pure snake oil. It does however offer much more brightness and light control at the expense of increased energy use. Plus 8K TVs cost a lot more. Not worth it.</t>
  </si>
  <si>
    <t>The ONLY reason that TCL became so big in the TV market was because of..................CHEAP ass pricing hundreds of dollars below Sony, LG and Samsung. Now that their pricing is very similar? NO THANKS I will stick with QUALITY over eye blinding brightness......every day of every week and that means..............SONY.</t>
  </si>
  <si>
    <t>Why no ADS panels though _xD83D__xDE41_.&lt;br&gt;&lt;br&gt;It&amp;#39;s nice to see TCL taking big screen seriously though. Even if not perfect especially if compared to premium TVs these will destroy projectors at 98&amp;quot; plus. Meanwhile Sony and LG can&amp;#39;t even be bothered to offer mini led at 98&amp;quot;.&lt;br&gt;&lt;br&gt;And none of the premium brands have an answer for 115&amp;quot;.&lt;br&gt;&lt;br&gt;LG, Sony and Samsung really need to up their game in the larger TV segment. Especially as so many people could benefit from larger TVs as soo many people have TVs far too small for how far away they sit from them.</t>
  </si>
  <si>
    <t>8k?</t>
  </si>
  <si>
    <t>@@paulc5389 well, I guess 98&amp;quot; is relevant, but I was thinking about 110 and 115 inches that just got debuted in the US. I&amp;#39;m sure at some this year or next 120&amp;quot; (that&amp;#39;s 10 feet!) will be debuted. Linus of LTT got a Chinese version of the TCL 115&amp;quot; and it&amp;#39;s amazing. The brightness is insane, the quality overall is crazy and he&amp;#39;s probably not going back to his high quality projector. I think projectors are only going to be a thing for 140&amp;quot; or more in a few years when the current TV&amp;#39;s are kind of reasonable for their size. Also, maybe there&amp;#39;ll be some non super premium super large TV&amp;#39;s.</t>
  </si>
  <si>
    <t>Between HiSense and TCL im not sure there&amp;#39;s much of an argument for most home projectors if you have money. Of course, projectors are going to be a lot cheaper for many years to come, so will still be highly relevant.</t>
  </si>
  <si>
    <t>Honestly these TV&amp;#39;s will leave samsung  , sony and lg in dust looking at price pov</t>
  </si>
  <si>
    <t>Are you positive the S series this year will have a 98 inch size? All reports I have read say up to 85 inches. I need to know the answer so I can decide on if I should wait or just buy the 98 inch S550G right now</t>
  </si>
  <si>
    <t>Great video guys. _xD83D__xDC4D__xD83D__xDE0E_</t>
  </si>
  <si>
    <t>Qube is gonna be big, 4k under 900 bucks?&lt;br&gt;LG should send one right to &amp;quot;the hook up&amp;quot; _xD83D__xDE05_</t>
  </si>
  <si>
    <t>Lol the coffee machine shits out your coffee.</t>
  </si>
  <si>
    <t>@@DarkPhychic I see, well I’m can’t say I’m surprised to be honest these being (QD)OLED’s</t>
  </si>
  <si>
    <t>@@hdhdhhehe6709 yeah true I guess we will wait for the reviews when these things come out hahah. I agree with you though. &lt;br&gt;&lt;br&gt;I personally think that a monitor should be able to hit a minimum of 1000 bits full screen sustained. I have seen OLED monitors with HDR and sure it’s good but yeah not very bright in HDR not to mention SDR mode. That’s why I have been waiting to buy a new monitor for 3 years now</t>
  </si>
  <si>
    <t>I wonder how many nits they can display on full screen brightness. Pretty big consideration for me</t>
  </si>
  <si>
    <t>Not glossy? What a bummer</t>
  </si>
  <si>
    <t>3D.  The Rasputin of visual tech.  We keep putting it in the ground and it keeps coming back for tea lol.</t>
  </si>
  <si>
    <t>Already outdated with DP. 1.4.   My god. Saving it for &amp;quot;future&amp;quot; models?</t>
  </si>
  <si>
    <t>Cannot wait</t>
  </si>
  <si>
    <t>You know their waiting for next year for that to be the big upgrade.@@emiel255</t>
  </si>
  <si>
    <t>Especially with 2.1 from more companies I assume coming out by then.</t>
  </si>
  <si>
    <t>Crazy how it&amp;#39;s a legit rarity among gaming monitors.</t>
  </si>
  <si>
    <t>is it a mix of glossy and matte</t>
  </si>
  <si>
    <t>Waiting on that ASUS 32&amp;quot; 4K 240hz OLED monitor to come out to compare.</t>
  </si>
  <si>
    <t>So WAIT, is it glossy are not? you said its the same as the G9 49&amp;quot;. isnt that monitor Glossy?! everyone is saying the new G6 G8 are Matte?!</t>
  </si>
  <si>
    <t>What generation of qd oled are these new monitors 2nd or 3rd?</t>
  </si>
  <si>
    <t>Why nobody makes 34inch flat oled monitor?! Anybody, pleeeeease, make it! _xD83D__xDE2D__xD83D__xDE2D__xD83D__xDE2D__xD83D__xDE2D__xD83D__xDE2D_</t>
  </si>
  <si>
    <t>Need more RGB! No, I I&amp;#39;m kidding. please less RGB.</t>
  </si>
  <si>
    <t>There was one</t>
  </si>
  <si>
    <t>If its chocolate, ill buy it!</t>
  </si>
  <si>
    <t>Haptic feedback pad? Next level racing did that already, dont think it worked well....</t>
  </si>
  <si>
    <t>Why do they have to put, &amp;quot;true gaming&amp;quot; inscribed on top?! Companies, stop putting stupid useless nonsense on stuff!</t>
  </si>
  <si>
    <t>Put the sd card right at the vents, great, we will see how this 1 goes</t>
  </si>
  <si>
    <t>Air purifiers......one of mankinds dumbest inventions ever made.</t>
  </si>
  <si>
    <t>Why isn&amp;#39;t it already out?</t>
  </si>
  <si>
    <t>take out the self driving and will be a hit</t>
  </si>
  <si>
    <t>Fake product</t>
  </si>
  <si>
    <t>@@Toddscamry-lk5wr You want electric cars to always fail? Why?</t>
  </si>
  <si>
    <t>Nice concept, Kia. I hope you will successfully achieve all the tech needed to pull this concept into a real life.</t>
  </si>
  <si>
    <t>The Sony car still looks trash no sure what happened to it</t>
  </si>
  <si>
    <t>Hopefully, ASUS motherboards aren&amp;#39;t over cooking CPUs any more.</t>
  </si>
  <si>
    <t>20 yrs for now it&amp;#39;s a hologram</t>
  </si>
  <si>
    <t>Why would anyone want a tranparent tv The whole point of a tv is to look at the screen why the he&amp;#39;ll would I want to see threw it</t>
  </si>
  <si>
    <t>What happens if you buy one of these trash washing machines and cancel the subscription does it shut you off from using it What a distopyian he&amp;#39;ll scape buying premium products you don&amp;#39;t own</t>
  </si>
  <si>
    <t>I believe the micro lens are one of the reasons why your eyes are more tired after watching something on your smart phone. The short focus distance is obviously a well known reason, but I believe the micro lens are the other reason. Because it focuses the light. Like a laser which isn&amp;#39;t bright can hurt your retina because it&amp;#39;s focused.</t>
  </si>
  <si>
    <t>I would love a new Honda legend!</t>
  </si>
  <si>
    <t>All repair bills now are like that. One collision and they&amp;#39;re totalled out</t>
  </si>
  <si>
    <t>how is honda going to rely on GM to produce honda passports in numbers when GM has indicated to scale back.</t>
  </si>
  <si>
    <t>seeing Canoo vans everywhere</t>
  </si>
  <si>
    <t>Too much concepts just release the product</t>
  </si>
  <si>
    <t>Now thats a beautiful automobile ❤</t>
  </si>
  <si>
    <t>Samsung is at it again!</t>
  </si>
  <si>
    <t>@@darinsims5443…which only got 50% of what they said, misheard and botched another 30% and completely gave up on the rest _xD83D__xDE02__xD83D__xDE02_</t>
  </si>
  <si>
    <t>A bike with no center wheel. What</t>
  </si>
  <si>
    <t>Im not super far away from vegas, would be nice to attend that event someday</t>
  </si>
  <si>
    <t>@@afd1040 thank you!!! so kind of you to say</t>
  </si>
  <si>
    <t>so glad we&amp;#39;re able to help, thanks for watching!!</t>
  </si>
  <si>
    <t>there was an update to the Galaxy Book4 but no new hardware as far as i know right now!</t>
  </si>
  <si>
    <t>I would love to! Let&amp;#39;s see if Razer makes it available!</t>
  </si>
  <si>
    <t>omg the dream! _xD83E__xDD23__xD83E__xDD23_</t>
  </si>
  <si>
    <t>hmmmmmmmmmmmmmmmmmmmmmmmmmm _xD83E__xDD23_</t>
  </si>
  <si>
    <t>thanks so much!!</t>
  </si>
  <si>
    <t>With the end of COVID-19 and the return to normal live activities with direct contact with people and devices. Every day recaps are very significant and you have last year&amp;#39;s experience in this. Have a great start to the new year and enjoy your stay in Vegas.</t>
  </si>
  <si>
    <t>And you know asus has to do it too. All of these companies are pathetic in not removing these chin bars after so many years.</t>
  </si>
  <si>
    <t>Deck oled about to slay this thing at 15W.</t>
  </si>
  <si>
    <t>i think that keyboard case is a great idea executed poorly, I think it would be better as a landscape clamshell design rather than having that ‘chin’ at the bottom of your phone</t>
  </si>
  <si>
    <t>Please review in mire details regarding the transparent LCD</t>
  </si>
  <si>
    <t>That ice cream machine is just begging be the next Juicero disaster.</t>
  </si>
  <si>
    <t>antiglare is disgusting what a downgrade give me a glossy finish I can turn the lights off and close the curtains we the consumer hate antiglare especially for gaming monitors.</t>
  </si>
  <si>
    <t>I think transparent displays would be cool for cars in my opinion</t>
  </si>
  <si>
    <t>Yawn. Nothing new or groundbreaking from CES. Matte screen OLED? Pass.</t>
  </si>
  <si>
    <t>Where&amp;#39;s the insane new tech from Samsung?</t>
  </si>
  <si>
    <t>&lt;a href="https://www.youtube.com/watch?v=x8TuG7Or5y8&amp;amp;t=2m23s"&gt;2:23&lt;/a&gt; This is not exactly new tech. Nintendo already did this a decade ago with the Nintendo 3DS.</t>
  </si>
  <si>
    <t>Surprised no one has really done augmented reality well... Everything seems to be moving to it, but no one is really connecting the dots. Google glass was like the PDA of augmented reality, only halfway there to cellphones.&lt;br&gt;&lt;br&gt;Why would you want a clear TV? Who knows... A heads up display you could inject virtual reality on top of reality on the other hand...</t>
  </si>
  <si>
    <t>Malls can’t afford this. Casinos sure.</t>
  </si>
  <si>
    <t>Totes you</t>
  </si>
  <si>
    <t>They are boring to me too! I want actual futuristic stuff. It&amp;#39;s the year 2024 for crying out loud.  Not the same old shit that existed years ago.</t>
  </si>
  <si>
    <t>It&amp;#39;s CES, most don&amp;#39;t have release dates and definitely not costs</t>
  </si>
  <si>
    <t>why is CES this year so claustrophobic?</t>
  </si>
  <si>
    <t>Yayyyy Sony Time!!!</t>
  </si>
  <si>
    <t>Simulation data will only get you so far with autonomous driving.</t>
  </si>
  <si>
    <t>Must visit West Hall Booth &lt;a href="http://www.youtube.com/results?search_query=%233141"&gt;#3141&lt;/a&gt;, BOE‘s 32 inch light field 3D display is amazing！</t>
  </si>
  <si>
    <t>Airthings new air purifier &amp;amp; the robot snowblower were my favorite products at showstoppers</t>
  </si>
  <si>
    <t>I have a bad case of diarrhea.</t>
  </si>
  <si>
    <t>Yeah. Stupid touch screens...</t>
  </si>
  <si>
    <t>Same old, same old... Nothing new here then?</t>
  </si>
  <si>
    <t>You have to be joking with that keyboard case. And these CES videos are so weird with the, &amp;quot;I&amp;#39;m excited for this!&amp;quot; nonsense. You know more than half of this stuff won&amp;#39;t ever make it to market, right? Most of it is just junk.</t>
  </si>
  <si>
    <t>@@lil_patrick 3.5% of the market is laughable source wired.</t>
  </si>
  <si>
    <t>They keep on trying to push this but from what I see in the real world no one wants these</t>
  </si>
  <si>
    <t>Please find out when will we get Tri-Fold Phones</t>
  </si>
  <si>
    <t>Actually,  there&amp;#39;s nothing wrong with getting the native speakers. People only care about getting information.  No pride lost. Learn from Hisense.</t>
  </si>
  <si>
    <t>Please find out when will we get Tri-Fold Phones Tabs</t>
  </si>
  <si>
    <t>That trailer was built for the Cyber Truck.</t>
  </si>
  <si>
    <t>Please find out when will we get Tri-Fold Phones &amp;amp; Tablet</t>
  </si>
  <si>
    <t>Those taillights look sick!</t>
  </si>
  <si>
    <t>@@RichardServello The grip is different, the backside buttons are different, the lower left and right edges are different and the back vents are obviously much larger.</t>
  </si>
  <si>
    <t>There are several differences or improvements over the ROG Ally though, even the case is different.</t>
  </si>
  <si>
    <t>@@warrenwest407 It runs cooler (depending on the wattage) and it also depends on the usage. My Ally Card-Reader still works, maybe because I am using it mostly in manual mode and rarely see temps over 75°C.</t>
  </si>
  <si>
    <t>@@warrenwest407 The Claw runs cooler due to dual heatpipe design and they most likely have shielded it from heat, those will rarely break.</t>
  </si>
  <si>
    <t>As an ROG Ally owner, I think the MSI Claw fixes a lot of small issues of the Ally.</t>
  </si>
  <si>
    <t>I&amp;#39;m glad Valve has caused the Handheld PC industry to go big.</t>
  </si>
  <si>
    <t>@@gurpinder7988 according the news, Xiaomi will start delivery next months, 24th Feb 2024. Production started in December 2023. &lt;br&gt;&lt;br&gt;So the Xiaomi car is ready.&lt;br&gt;&lt;br&gt;By the time Sony released the car and shipped it to the customer, maybe Xiaomi was already making more improvements (like higher motors that are already on their pipeline), or maybe a new model.</t>
  </si>
  <si>
    <t>It&amp;#39;s been like 3 years since Sony first showed their car. Not yet on the road. Xiaomi now has its own car ... And it&amp;#39;s ready, not just a show car.</t>
  </si>
  <si>
    <t>If you were lost and injured in some wildernes youd love to hear drone bringing food and help _xD83D__xDE0A_</t>
  </si>
  <si>
    <t>BYD is doing just as well</t>
  </si>
  <si>
    <t>Wont happen bc humans created AI _xD83D__xDE02_</t>
  </si>
  <si>
    <t>That robotic cook was the best joke of all _xD83D__xDE02_  Japan uses robotic waiters due to worker shortage but cooks wont ever be replaced</t>
  </si>
  <si>
    <t>Water from the air was demoed at CES in 2020. Or was it earlier? Did Genisus buy or steal that technology?</t>
  </si>
  <si>
    <t>What a disaster it will be. _xD83E__xDD26__xD83E__xDD26__xD83E__xDD26_</t>
  </si>
  <si>
    <t>Boomer science</t>
  </si>
  <si>
    <t>Funny how Afeela is making a big deal about having user profiles. Tesla has had that for 10 years, and at least basic numbered profiles for seats and steering wheel exist on Audis from 40 years ago.</t>
  </si>
  <si>
    <t>The voice volume thing would be awesome for those 2000s movies that all had lots of loud noise and annoyingly quiet voices.</t>
  </si>
  <si>
    <t>That Nemo AR computer will be great once AR headsets hit the point where they don&amp;#39;t cause accelerated eye fatigue and headaches.</t>
  </si>
  <si>
    <t>That robot for cleaning the pool shows how much we are evolving oml, definitely going to get that for my grandparents!</t>
  </si>
  <si>
    <t>same here dude</t>
  </si>
  <si>
    <t>The ODM is probably the same, but its still weird</t>
  </si>
  <si>
    <t>EV bikes even worse than EV cars _xD83E__xDD22__xD83E__xDD2E__xD83E__xDD26__xD83C__xDFFB_‍♂️</t>
  </si>
  <si>
    <t>goove are overpriced led strips. _xD83E__xDD37__xD83C__xDFFB_‍♂️</t>
  </si>
  <si>
    <t>Monitors. You claimed ELMB on OLED. Will the QD-OLED 4k240hz get this? Or only the LG WOLED monitors that have not been given a release date but rumored 2h 2024? And is the rumor that ELMB only works at 120hz true? Because if so thats fucking useless.</t>
  </si>
  <si>
    <t>​@@RAMBOLOGYamd gonna release new rdna4 8000 series cards this year</t>
  </si>
  <si>
    <t>So nvidia dropping super cards when AMD will be releasing 8000 series cards. interesting</t>
  </si>
  <si>
    <t>NO ONE CARES ABOUT RAY TRACING!!!!!! Seriously. Ray Tracing users are 1%ers. The majority of the gaming population leaves it off in options.</t>
  </si>
  <si>
    <t>Worst CES conference</t>
  </si>
  <si>
    <t>Need ROG Ally with more ports</t>
  </si>
  <si>
    <t>That holoconnect reminds me of the hologram Vox from The Time Machine .</t>
  </si>
  <si>
    <t>LG able to do other things more now since they got rid of their phone division</t>
  </si>
  <si>
    <t>Those claims are made with intels upscaling technology used on the games tested</t>
  </si>
  <si>
    <t>Need different mic</t>
  </si>
  <si>
    <t>This is an AI presenter</t>
  </si>
  <si>
    <t>facts</t>
  </si>
  <si>
    <t>_xD83E__xDD23__xD83E__xDD23__xD83E__xDD23__xD83E__xDD23__xD83E__xDD23__xD83E__xDD23__xD83E__xDD23__xD83E__xDD23__xD83E__xDD23__xD83E__xDD23__xD83E__xDD23__xD83E__xDD23_ what a horrible showing  embarrassing _xD83E__xDD23__xD83E__xDD23__xD83E__xDD23__xD83E__xDD23__xD83E__xDD23__xD83E__xDD23__xD83E__xDD23__xD83E__xDD23__xD83E__xDD23__xD83E__xDD23_</t>
  </si>
  <si>
    <t>Found the bot</t>
  </si>
  <si>
    <t>Those earbuds seem neat</t>
  </si>
  <si>
    <t>I see they added the New AI key for windows on their new keyboards</t>
  </si>
  <si>
    <t>So basically . . . 4k OLED maxes out at 240 hz? Bummer. &lt;b&gt;4k 500hz OLED would have been PERFECTION!&lt;/b&gt;</t>
  </si>
  <si>
    <t>​@@andreicopaci7713literally no</t>
  </si>
  <si>
    <t>They actually tried to put AI into a laundry machine…&lt;br&gt;&lt;b&gt;dies from cringe&lt;/b&gt;</t>
  </si>
  <si>
    <t>Oh boy, here we go again. We saw what happened with their last robot.</t>
  </si>
  <si>
    <t>Bunch of boomer tech, &lt;b&gt;bring out the 300-500 hz OLED monitors!&lt;/b&gt; _xD83D__xDE02_</t>
  </si>
  <si>
    <t>&lt;b&gt;ULMB 2 IS AMAZING! Nvidia is horrible, but pretty good.&lt;/b&gt;</t>
  </si>
  <si>
    <t>I complained that gaming phones have terrible cameras, terrible OS, even</t>
  </si>
  <si>
    <t>@@idklevi  Yes i know, they are still pretty thermally intesive cards. 4090 mobile = 4080 desktop specs with reduced power. Still need to be able to cool it and a Thin and light is not designed to do that. Thermal Throttling a laptop gpu is just dumb, because when that happens it often performs worse then a non throttling lower tier one like the mobile 4080 or 4070.</t>
  </si>
  <si>
    <t>Zephyrus is NOT suitable for a 4090 laptop GPU. Thin and lights are not designed to handle that thermal load and will throttle way too hard. Such a dumb choice. Let the bigger cards get better cooling. Thin and lights have their place, but not with the highest end specs.</t>
  </si>
  <si>
    <t>What happened to the PG32UCDM?</t>
  </si>
  <si>
    <t>no 18 inch laptop? guys from asus ae f...ked in the head with that litlle crap 14 inch crap</t>
  </si>
  <si>
    <t>And need a power supply</t>
  </si>
  <si>
    <t>see how she did not say anything about the resolution of the 39&amp;quot;? biggest killer :P</t>
  </si>
  <si>
    <t>If you want to impress me with new phones, make the camera thinner than the device.  It seems like an impossible task for some odd reason.  That is my challenge to everyone that claims to be a technology leader.  These computers appear to be faster than my Gateway 2000 with a math coprocessor chip.  Good job.  It makes paying a premium price less painful when you do indeed have premium product.</t>
  </si>
  <si>
    <t>I stopped listening after AI, getting so tired of hearing everyone throw AI into the mix. It’s the buzzword of 2023.</t>
  </si>
  <si>
    <t>Oof, about the only practical thing from this LG presentation was the production of EV chargers.</t>
  </si>
  <si>
    <t>I prefer the GPD Win Max 2. When I&amp;#39;m done gaming, it&amp;#39;s still a fully functional and entirely practical laptop. Carrying around a giant dedicated handheld is just silly.</t>
  </si>
  <si>
    <t>Like E3</t>
  </si>
  <si>
    <t>I would like to use those OLED-T&amp;#39;s as my windows in my apartment.</t>
  </si>
  <si>
    <t>All i can hear is, we will sell even more of your private information.</t>
  </si>
  <si>
    <t>Thanks for covering things no one else is. The overall coverage of CES is pretty poor from most outlets this year. They’re just covering the same things in the same ways with the same marketing people. Lol</t>
  </si>
  <si>
    <t>I hope someone will make a Minecraft Java Edition mod using RTX Remix to add DLSS</t>
  </si>
  <si>
    <t>I used to love playing games and still do and miss it but now I cannot really as we had a baby girl and all the time and attention goes to her, which I think is a good thing.</t>
  </si>
  <si>
    <t>ROG Swift OLED PG32UCDM is QD OLED and the ROG Swift OLED PG32UCDP is 3rd Gen WOLED with MLA</t>
  </si>
  <si>
    <t>@@nathanaelniklaus2981ooh I see what you mean sorry I misunderstood then. &lt;br&gt;&lt;br&gt;I guess nvidia should really opt for a full dp2.1 port next year and not cheap out (especially with their prices) so yeah that will be at least a step in the right direction. And yeah maybe I will still not be able to use 12 bit colour depth but at least I will be able to use very high refresh rates with high resolutions with HDR with 4:4:4 without needing to turn to 8 bit.  And I’m sure monitors will then slowly follow after nvidia with their 12 bit monitors&lt;br&gt;&lt;br&gt;Hahah I’m watching that video of monitors unboxed right now as well speak</t>
  </si>
  <si>
    <t>@@nathanaelniklaus2981 yes but you seem to be (not sure if you are though) talking about using it to it fullest potential at a certain moment. I’m talking about in general. Yeah, maybe with a certain game I won’t be able to use the full bandwidth because it’s not necessary but that  doesn’t mean that a game or movie whatever I want to do with my monitor, will use the full bandwidth with an HDR or something similar. &lt;br&gt;&lt;br&gt;And also since people don’t tend to switch up their monitors very quickly you will definitely be able to use more (not saying full) bandwidth of that monitor. For example with a more demanding game or maybe a movie&lt;br&gt;&lt;br&gt;Further more, I think if you as a company want me to pay a premium price, then you better have all the premium features and one of those features  especially in the port section is display port, 2.1 full bandwidth. I personally really dislike companies saying “yeah we only have 50% of this but anyway 1200 dollars please”. In my opinion you could get away with that with a very cheap model but a premium asking price (like this one for sure will be) is preposterous. &lt;br&gt;&lt;br&gt;Great example of this is the ASUS ROG PG32UQX which only had DP 1.4 and HDMI 2.0. And then they ask you 3500 dollars. Like are you kidding me? Yeah the HDR was (and still is) unbelievable good but it had so many flaws (including the DP one) that is was just laughable&lt;br&gt;&lt;br&gt;Sorry long post hahah</t>
  </si>
  <si>
    <t>@@PSYCHOV3N0M the PG32UCDP has DP 2.1 (dont know if it will be full bandwith) . It does have HDMI 2.1 (not sure if it’s the full 48Gbit/s though (it doesn’t say)</t>
  </si>
  <si>
    <t>agreed but when I said it should be on other high end monitors too I meant more the feature itself not the resolution@@willuigi64</t>
  </si>
  <si>
    <t>Yes and you can switch back to 4k 240hz when you want. Imo a feature (not necessarily the resolution) that should be implemented on any high end monitor. its basically 2 monitors in 1 @@ployth9000</t>
  </si>
  <si>
    <t>@@Captain-Chats They&amp;#39;re saving the 32&amp;quot; version for next year haha.</t>
  </si>
  <si>
    <t>Linus tech tips has done an extensive video on refresh rates. For the most part the naked eye cannot discern a difference beyond 144hz. However some people can tell that higher than 144hz does help with a slight edge when competitive gaming. But unless your going pro, it&amp;#39;s not worth it. Most people just like the smoothness of higher refresh rates. As for 1440p vs 4k, 4k is definitely visually different. The biggest difference being the crisp picture. Which is excellent for casual gaming and competitive games. I have a visuals over framerate preference but 4k blows 1440p out of the water on big screens, 34in+ st 30in viewing distance. It&amp;#39;s so crisp, clear and vivid. But for competitive gaming, 4k only has one advantage over 1440p. That advantage being crispness of objects in the distance. So let&amp;#39;s say your playing warzone, and a guy is 300+ meters in the distance, in 4k your definitely going to be able to make out that it&amp;#39;s a player and not a shadow or a bush or whatever compared to 1440p. It&amp;#39;s also nice for casual gaming like playing red dead redemption 2 or similar games. Especially if your really close to the screen. Because you can make out more detail due to the vast amount of pixels. Of course not all 4k displays are created equal and it varies depending on the ppi, VA vs IPS, oled vs led etc. I simply cannot go back to anything less than 4k now because of it. I use large displays (43+inch tv&amp;#39;s) as my main gaming monitor and I love how immersive it is. I was going to get a large 1440p monitor but I couldn&amp;#39;t find anything bigger than 34 inches which was too small. Not to mention at a viewing distance of 30 inches, 1440p is not very crisp on something as large as a 34in. I am looking to upgrade to a mini led 55in soon with 144hz variable refresh rate. Then I&amp;#39;m sure I will be satisfied until micro led becomes affordable. Which will be in like 10 years _xD83D__xDE02_</t>
  </si>
  <si>
    <t>Human eyes can see up to 320 fps</t>
  </si>
  <si>
    <t>For anyone wondering about the specs:&lt;br&gt;&lt;br&gt;ROG Swift OLED PG32UCDP:&lt;br&gt;&lt;br&gt;32-inch Flat &lt;br&gt;&lt;br&gt;Standard: 3840x2160 240Hz&lt;br&gt;Frame Rate Boost: 1920x1080 480Hz&lt;br&gt;&lt;br&gt;3rd Gen WOLED with MLA &lt;br&gt;&lt;br&gt;Anti-glare &lt;br&gt;&lt;br&gt;1300 nits (on a 3% window)&lt;br&gt;&lt;br&gt;HDR10&lt;br&gt;&lt;br&gt;Available 2H 2024&lt;br&gt;&lt;br&gt;&lt;br&gt;&lt;br&gt;ROG Swift OLED PG32UCDM:&lt;br&gt;&lt;br&gt;32-inch Flat&lt;br&gt;&lt;br&gt;3840x2160 240Hz&lt;br&gt;&lt;br&gt;3rd Gen QD-OLED&lt;br&gt;&lt;br&gt;Anti-reflection (glossy)&lt;br&gt;&lt;br&gt;1000 nits (on a 3% window)&lt;br&gt;&lt;br&gt;Dolby Vision, HDR10&lt;br&gt;&lt;br&gt;Available Q1 2024</t>
  </si>
  <si>
    <t>Love it! You guys are great and love the new tech about bird watching and mobility access</t>
  </si>
  <si>
    <t>Lol there&amp;#39;s a reason the FPS overlay isn&amp;#39;t available yet. They don&amp;#39;t want to show performance. Granted its pre production but that&amp;#39;s a calculated &amp;quot;coming later&amp;quot; feature</t>
  </si>
  <si>
    <t>The Belkin stand at the end would be good for using FaceTime on the Apple TV.</t>
  </si>
  <si>
    <t>All this great stuff but still no viable, user friendly remote to take the place of a Harmony remote.</t>
  </si>
  <si>
    <t>Party pooper</t>
  </si>
  <si>
    <t>@&lt;a href="https://www.youtube.com/watch?v=q2yJEc5KWVA&amp;amp;t=3m25s"&gt;3:25&lt;/a&gt; looks like the battery is replaceable</t>
  </si>
  <si>
    <t>The look on Dennis face when he&amp;#39;s squeezing the cushions is priceless _xD83D__xDE02_</t>
  </si>
  <si>
    <t>what is the mic on your shirt please?</t>
  </si>
  <si>
    <t>there’s 3 of you?????</t>
  </si>
  <si>
    <t>None of these were on display at Unveiled. Unveiled is a media-only preview show from a few brands prior to CES kicking off on Tuesday.</t>
  </si>
  <si>
    <t>@@ArunWadhwa Thank you! I love covering CES! It kicks my butt every year but so much stuff to look and highlight! I&amp;#39;ll be back late tonight with my coverage from Pepcom which usually has even more cool stuff before the show starts!</t>
  </si>
  <si>
    <t>What&amp;#39;s the question? Sure, most of this is applicable to Apple users but this was just the coolest tech. At CES, basically everything is going to be compatible for Apple users/iPhones/Macs/etc.&lt;br&gt;&lt;br&gt;That said, this is CES Unveiled, a media event before the show and it&amp;#39;s only a very small selection of companies versus the whole of CES that starts on Tuesday.&lt;br&gt;&lt;br&gt;Much more stuff coming!</t>
  </si>
  <si>
    <t>10Gb Ethernet versus the standard 1Gb Ethernet port found on most devices. Overkill for most users!</t>
  </si>
  <si>
    <t>Hey friend, do you know what CES Unveiled is? I’m not trying to make a snarky response to you, but I want you to be aware of what it is. It’s a pre-show event with products from a just a handful of companies. It isn’t ALL of CES which doesn’t start until Tuesday. I’m not saying this is best of CES, just of this particular event. Not a ton to see!</t>
  </si>
  <si>
    <t>So can&amp;#39;t wait to get my hands on one! second time trying it out like that and just wowed every time!</t>
  </si>
  <si>
    <t>Thanks Brandon!</t>
  </si>
  <si>
    <t>I love how quick you’re able to get these edited and uploaded! Nice bumping into you last night, have a great show!</t>
  </si>
  <si>
    <t>Over 200 miles range &amp;amp; it cost way less. Proceeds not to tell us the price. Can someone tell me whete these solar panels come from ? Like who digs up the metal to build them</t>
  </si>
  <si>
    <t>I was bored!</t>
  </si>
  <si>
    <t>lol I’m sure they will when they actually get their kids one of those vehicles and have access to helemts</t>
  </si>
  <si>
    <t>You guys are so wholesome and fun. I always know your videos are going to be family friendly and entertaining. But it’s clear you also love what you do!</t>
  </si>
  <si>
    <t>_xD83D__xDE44__xD83D__xDE2E__xD83E__xDDD0__xD83E__xDD13__xD83D__xDE0E_</t>
  </si>
  <si>
    <t>Check out SHARGE&amp;#39;s unique chargers and more ➡ &lt;a href="https://shareasale.com/r.cfm?b=2135808&amp;amp;u=3346221&amp;amp;m=130510&amp;amp;urllink=&amp;amp;afftrack="&gt;https://shareasale.com/r.cfm?b=2135808&amp;amp;u=3346221&amp;amp;m=130510&amp;amp;urllink=&amp;amp;afftrack=&lt;/a&gt;&lt;br&gt;Order the new Sharge 170 charger! ➡  &lt;a href="https://bit.ly/3RWvQO4"&gt;https://bit.ly/3RWvQO4&lt;/a&gt;&lt;br&gt;Their Sharge 170 was actually the charger we chose to bring to CES 2024, so check it out above!</t>
  </si>
  <si>
    <t>I am 100% sure you have used that intro before.</t>
  </si>
  <si>
    <t>The case is almost 100% identical! It&amp;#39;s like they got the ROG model and just adjusted on the back a little.</t>
  </si>
  <si>
    <t>@@willr5372 weighs a ton? Lmfao. No. Also. When you take the controllers off it is the lightest of any handheld. Weighs a ton. That’s hilarious.</t>
  </si>
  <si>
    <t>OK did they license the ROG case or just flat out rip it off? Even the weird triangle back buttons are identical.</t>
  </si>
  <si>
    <t>That MASSIVE screen bezel is just to put that ugly MSI logo on it isn&amp;#39;t it? I love my Lenovo Legion Go screen. The bezels are TINY and no branding on the front.</t>
  </si>
  <si>
    <t>chromes getting scary. Unfortunately I think its time to leave.&lt;br&gt;&lt;br&gt;Everyone just looks at apple and is like &amp;quot;I WANA DO THAT!&amp;quot;&lt;br&gt;Its sick. Most people who dont own apple dont own it for a reason.</t>
  </si>
  <si>
    <t>Thank you! It really works.</t>
  </si>
  <si>
    <t>You guys are the best.</t>
  </si>
  <si>
    <t>Every CES video is Samsung and LG. Literally every video. I loved everything else.</t>
  </si>
  <si>
    <t>Everyone is getting laid off.</t>
  </si>
  <si>
    <t>I think the robot as a companion for your dog is cute. I find robots cool but the companies selling them really have to stretch for reasons why i need one</t>
  </si>
  <si>
    <t>I am forever salty that LG stopped making phones particularly when they didn&amp;#39;t at least release they rollable phone they worked so hard on</t>
  </si>
  <si>
    <t>My favorite is the flying taxis that are always like 5 years away along with flying cars</t>
  </si>
  <si>
    <t>Transparent TVs are cool and all but ehy do i need one most people put them on a wall anyway</t>
  </si>
  <si>
    <t>The asus zenbook duo 2024  is a great price in America but costs the equivalent of 2,168.96£ in the UK which is just plain stupid</t>
  </si>
  <si>
    <t>The asus zenbook duo 2024 is a good price in America but costs the equivalent of 2,168.96 in USD for the same thing here in the UK</t>
  </si>
  <si>
    <t>Nice design as far as the ventilation.  But this thing is only going to get 2 hours battery life/play time.  That’s just trash.</t>
  </si>
  <si>
    <t>English but the two presenters are Japanese.</t>
  </si>
  <si>
    <t>Bespoke Ai Laundry _xD83D__xDE02_ what a joke Samsung. &lt;br&gt;&lt;br&gt;Great video!</t>
  </si>
  <si>
    <t>&lt;a href="https://www.youtube.com/watch?v=9ZXrkcS1hB8&amp;amp;t=1m05s"&gt;1:05&lt;/a&gt; It costs way less than what? lol</t>
  </si>
  <si>
    <t>&lt;a href="https://www.youtube.com/watch?v=eQ0V8uvfB98&amp;amp;t=8m12s"&gt;8:12&lt;/a&gt; Great now my car can break down when I have to many freaking tabs open in chrome and run out of Memory....</t>
  </si>
  <si>
    <t>I wasn&amp;#39;t able to watch the video because of adblock restrictions. I had to give it a thumbs down because of this. I will be doing this to every video that blocks me from watching due to my usage of an adblocker. It&amp;#39;s my privacy and data, not yours and I will not be strong-armed out of my rights. If you have a problem with this decision, take it up with your Lord and Master (Google).</t>
  </si>
  <si>
    <t>&lt;a href="https://www.youtube.com/watch?v=eQ0V8uvfB98&amp;amp;t=5m24s"&gt;5:24&lt;/a&gt; no joke I&amp;#39;d actually use this</t>
  </si>
  <si>
    <t>Yes PREACH! _xD83C__xDDFA__xD83C__xDDF8__xD83C__xDDFA__xD83C__xDDF8__xD83C__xDDFA__xD83C__xDDF8_ TRUMP! Trump for Prison 2024! THIS IS OUR YEAR!!!!! _xD83C__xDF89__xD83C__xDF89__xD83C__xDF89_</t>
  </si>
  <si>
    <t>How many AI you need?&lt;br&gt;Samsung: YES</t>
  </si>
  <si>
    <t>Life is indeed good... LG _xD83D__xDE05_</t>
  </si>
  <si>
    <t>way to much face time</t>
  </si>
  <si>
    <t>Asus Air Vision M3 with ROG Ally 3 ❤</t>
  </si>
  <si>
    <t>does the jackery thing charge the car too</t>
  </si>
  <si>
    <t>Yes, finally a field trip. May we see Angelika again.&lt;br&gt;&lt;br&gt;God bless.</t>
  </si>
  <si>
    <t>_xD83D__xDE2E__xD83D__xDE33__xD83E__xDD14__xD83E__xDD13__xD83D__xDE0E_</t>
  </si>
  <si>
    <t>CES has become a cesspool of lame YouTubers.</t>
  </si>
  <si>
    <t>That Lenovo laptop is serious.  Goofball, my eyeball.  Cutting edge tech with 2 OS simultaneously.  Where can I buy it?</t>
  </si>
  <si>
    <t>@@alexalexius2688 bro Stellar Blade dev is Shift Up studio . You dont know about NIKKE ?</t>
  </si>
  <si>
    <t>This is CES . Not Playstation Showcase and State of Play . This is about technology . First time in CES , bro ?</t>
  </si>
  <si>
    <t>​@@CoreyANeal2000ps5 pro announcement would have been nice</t>
  </si>
  <si>
    <t>​@@princegroove I agree also playstation fans can be critical of sony you know _xD83D__xDE02_</t>
  </si>
  <si>
    <t>Commented to insult sony and ended up being the stupidest Comment so far on this video</t>
  </si>
  <si>
    <t>Pathetic from sony yet again</t>
  </si>
  <si>
    <t>Nice video. I really hope there will be more information about the Neo Qled the 8K and 4K and the processing and have they increased zone count etc?</t>
  </si>
  <si>
    <t>matte beschichtung aufm oled _xD83E__xDD2E_</t>
  </si>
  <si>
    <t>Was hälst du von dem clicks for iphone? Ehrliche Frage. Bin gespannt auf deine Antwort.</t>
  </si>
  <si>
    <t>_xD83D__xDE09__xD83D__xDC4D__xD83C__xDFFC__xD83D__xDE09__xD83D__xDC4D__xD83C__xDFFC__xD83D__xDE09__xD83D__xDC4D__xD83C__xDFFC__xD83D__xDE09__xD83D__xDC4D__xD83C__xDFFC__xD83D__xDE09__xD83D__xDC4D__xD83C__xDFFC__xD83D__xDC4D__xD83C__xDFFC_</t>
  </si>
  <si>
    <t>Ich mag keine Immertions-Zeugs)) Ich schalte schon bei meiner PS5 immer die Vibration aus, igitt, ich kann&amp;#39;s nicht haben_xD83E__xDD22__xD83D__xDE05_</t>
  </si>
  <si>
    <t>Wonderful</t>
  </si>
  <si>
    <t>83&amp;quot; G4 - I&amp;#39;m ready!</t>
  </si>
  <si>
    <t>Yes, yes you can</t>
  </si>
  <si>
    <t>@@emiel255 Ehm what I meant is that not all displays come with more that 10-bit colour depth and then if you enable chroma 4:4:4 instead of 4:2:4 subsampling, you use the full bandwidth. If the screens use 12-bit colour depth it would become bottlenecked with the current ports.&lt;br&gt;&lt;br&gt;I agree 100% that they should not wait with 2.1, but I have accepted that DSC is visually lossless and that I will be very happy with one of these screens.&lt;br&gt;&lt;br&gt;Monitors unboxed goes through all announced monitors, I earlier said the PG32UCDP has 2.1 but that is not confirmed. The aourus is currently the only one using the v 2.1. maybe HP Omen and Asus later announce something else</t>
  </si>
  <si>
    <t>​@@emiel255exactly, but DP 2.1 only matters if they also use full chroma 4:4:4 and 12-bit colour depth, otherwise I could not understand why. Especially if there is no Dolby Vision included</t>
  </si>
  <si>
    <t>The UCDP coming in H2 has DP 2.1 but it does not matter for your use case anyway</t>
  </si>
  <si>
    <t>240 is what is needed and we are there. I think I read something about around 600 is where we cannot see a difference. Remember, the jump from 60-120 is great, 120-180 good, 180-240 ok. Diminishing returns</t>
  </si>
  <si>
    <t>I agree except for the first sentence, a youtube video filmed with a camera is not representative of how it looked for them in person. Just open UFO motion blur test on any of your devices and see for yourself!</t>
  </si>
  <si>
    <t>Looks absolutely dreadful wiith a bezel around the edge completely distracting...</t>
  </si>
  <si>
    <t>G has 83 inch MLA nothing new C4</t>
  </si>
  <si>
    <t>Where LG G4 and C4</t>
  </si>
  <si>
    <t>❤️❤️❤️❤️❤️❤️❤️❤️</t>
  </si>
  <si>
    <t>Great outlook.   Jay,  ColoRadio,   &amp;quot;Your Moment In Tech&amp;quot;</t>
  </si>
  <si>
    <t>Alienware and MSI are glossy thank goodness!</t>
  </si>
  <si>
    <t>Check out Monitors Unboxed hands on of the MSI MPG 321URX glossy QD-OLED with a passive heat sink.</t>
  </si>
  <si>
    <t>&amp;quot;you wont get that glare thats super nice&amp;quot; if youre using an OLED why would you be playing with ambient light????? No that is not nice it ruins the image</t>
  </si>
  <si>
    <t>Is Extreme Low Motion Blur different from ULMB? Is this an upgrade from it? ELMB?</t>
  </si>
  <si>
    <t>Large format 21:9 displays making their way (back) into the consumer market?</t>
  </si>
  <si>
    <t>It’s been years since we see the first cars that can move 90 degree and yet we never see it hit the market. I wonder why. My guess is that the way the wheel turn required special shaft that isn’t quite as reliable as conventional car.</t>
  </si>
  <si>
    <t>Palm plug or thanos glove can become future of navigation in PC.&lt;br&gt;&lt;br&gt;I mean, it is time for mouse/cursor to evolve into 3d from 2d. (Mouse is archaic tech, i.e. 3 decade old)&lt;br&gt;&lt;br&gt;Mouse already have 2 axis movement, you just need to add 3rd axis.&lt;br&gt;Imagine hand in x and y axis, 2d plane, back and forth action will become 3rd axis/plane.&lt;br&gt;&lt;br&gt;Plus sensors on tip of fingers, providing extra gestures to grab icons, throw stuff or draw something. &lt;br&gt;&lt;br&gt;It can act like 3d mouse, wired or wireless.</t>
  </si>
  <si>
    <t>Yo try to find the most ridiculous  PC in ces</t>
  </si>
  <si>
    <t>Most &lt;del&gt;rediculous&lt;/del&gt; useless and expensive tech at CES</t>
  </si>
  <si>
    <t>I WILL! I wanna show it from the perspective of a regular person, not a journalist or reporter. :)</t>
  </si>
  <si>
    <t>_xD83D__xDC40__xD83D__xDC40_</t>
  </si>
  <si>
    <t>i’ll be making videos on the coolest tech i see there so make sure to subscribe :)&lt;br&gt;&lt;br&gt;add me on snap for bts of the trip!&lt;br&gt;_xD83D__xDC7B_nathanespinozas</t>
  </si>
  <si>
    <t>Hi</t>
  </si>
  <si>
    <t>The Consumer Electronics Show still exists? I thought that ended in the late 90s</t>
  </si>
  <si>
    <t>Love your videos ❤</t>
  </si>
  <si>
    <t>I’m really curious on Five Below filming  products like the underwater cameras or the tripods. Any chance you can test them sometime? I love your tech videos!</t>
  </si>
  <si>
    <t>@@chefkris44And please stop comment like this.</t>
  </si>
  <si>
    <t>와 ㅅㅂ 존나 신기하다 이거</t>
  </si>
  <si>
    <t>곧 출시가능한 AR 안경 보니까 과거 구글 글라스 데모 영상이 생각나는군요</t>
  </si>
  <si>
    <t>그리 따지면 애플 비전도 오쿨러스 잡이지 무슨 ㅉㅉ</t>
  </si>
  <si>
    <t>How you not talking the Xbox that&amp;#39;s like literally the most important thing lol man you fittin to be bored as hell lol _xD83E__xDD23__xD83E__xDD23__xD83E__xDD23__xD83E__xDD23_</t>
  </si>
  <si>
    <t>Looking good</t>
  </si>
  <si>
    <t>@@SpamNinja1 someone didn&amp;#39;t have a good time with their family. No need to project though, other people can have nice memories.</t>
  </si>
  <si>
    <t>nah. They tried OLED shortly and gave up fast just like with 3D, they are just following trends that LG sets (when it comes to TVs). They are still the best in mobile world though.</t>
  </si>
  <si>
    <t>Samsung is undoubtedly the leader in T.V. technology!</t>
  </si>
  <si>
    <t>With how they priced the vision pro, i dont doubt u</t>
  </si>
  <si>
    <t>?????</t>
  </si>
  <si>
    <t>it&amp;#39;s ces lol</t>
  </si>
  <si>
    <t>Yup, this is ridiculous at this point</t>
  </si>
  <si>
    <t>They love to sell things that are compelling but not needed_xD83D__xDE05_</t>
  </si>
  <si>
    <t>@@MovieEggman no its clear what he meant. you just salty.</t>
  </si>
  <si>
    <t>@@webhead4414hello ? they just got blizzard and Bethesda</t>
  </si>
  <si>
    <t>Facts</t>
  </si>
  <si>
    <t>Tht was pointless</t>
  </si>
  <si>
    <t>In the future transparent will work especially for holograms .</t>
  </si>
  <si>
    <t>Looking forward to see what else can be done with transparent OLED + Micro LED tech. Right now it’s being demoed in TVs, but who knows where else it could show up? Maybe on other products; maybe even cars.</t>
  </si>
  <si>
    <t>I dont think concept cars have changed muxh in the past 20 yrs.</t>
  </si>
  <si>
    <t>SCI FI CAR _xD83D__xDE0E__xD83D__xDCA5__xD83D__xDCA5__xD83D__xDCA5__xD83D__xDCA5__xD83D__xDCA5__xD83D__xDCA5__xD83D__xDCA5__xD83D__xDCA5_</t>
  </si>
  <si>
    <t>What a horrendous design. No thought of practcality or real workd use. Clearly a concept from a daydreamer that has no experience actually making cars.</t>
  </si>
  <si>
    <t>They are quite reasonable prices compared to LG&amp;#39;s good quality.</t>
  </si>
  <si>
    <t>It’s called making investments on potential markets</t>
  </si>
  <si>
    <t>Looks good</t>
  </si>
  <si>
    <t>_xD83D__xDE06_</t>
  </si>
  <si>
    <t>Apple car starting at a 1 million dollar _xD83D__xDE02__xD83D__xDE02_ _xD83D__xDC80_</t>
  </si>
  <si>
    <t>the screen should not be splitted. Wrong design, LG.</t>
  </si>
  <si>
    <t>I also hope it comes with Safety foam due to Edgar Friendly attacks on my Taco Bell order!</t>
  </si>
  <si>
    <t>Nope... I&amp;#39;ll swear me a storm of Vodo Voce Violations before I use those 3 seashells...</t>
  </si>
  <si>
    <t>More like Alexa... Dispensary... Alexa... Pizza Hut.... These are great for the places where cannabis flows like wine and wine flows like water... Canada being one of them...</t>
  </si>
  <si>
    <t>Remove those annoying dash screens (or make them pop up), and a drive by wire stalk that can move from left or right drive (like the GM Sequel/HyWire prototypes from 2004) and sell these things ASAP! The car is pretty damn cool looking!</t>
  </si>
  <si>
    <t>Have good day ❤_xD83D__xDE0D__xD83C__xDF39_</t>
  </si>
  <si>
    <t>dont need it total crapp.</t>
  </si>
  <si>
    <t>&amp;quot;It also works with....&amp;quot; No, it&amp;#39;s not functional, bro. It&amp;#39;s just a concept.</t>
  </si>
  <si>
    <t>I-robot/ demolition man vibes&lt;br&gt;I’m not trying to go the 3 seashell route.</t>
  </si>
  <si>
    <t>@@JohnLee-db9zt I like that. That&amp;#39;s funny</t>
  </si>
  <si>
    <t>I really wish companies would stop wasting their money on stupid things like this that they&amp;#39;re never going to make. The products cost so much money because they waste money on stupid promotions like this. Please stop doing this and just lower your price of your products</t>
  </si>
  <si>
    <t>Alpha-Fail</t>
  </si>
  <si>
    <t>Stop fake concepts.. we will never see!! Stop reporting dumb stuff..</t>
  </si>
  <si>
    <t>?</t>
  </si>
  <si>
    <t>I only care about health technology</t>
  </si>
  <si>
    <t>The whole modular thing is a nightmare</t>
  </si>
  <si>
    <t>Stop complaining my guy... You live in a time where  you can have access to cutting edge technology straight from a sci-fi movie and you still find a reasons to say such nonsense?</t>
  </si>
  <si>
    <t>Do any of these monitors have displayport 2.1?</t>
  </si>
  <si>
    <t>while r youtubers talk shit, nvidia is powering drug discover and working with amgen find new treatment for human kind. those will bring breakthrough in medicine that world has never seen. are you shamed ofselves?</t>
  </si>
  <si>
    <t>half life 2 RTX. digital holywood</t>
  </si>
  <si>
    <t>love you amd</t>
  </si>
  <si>
    <t>Is it just me or is AI way overhyped</t>
  </si>
  <si>
    <t>That&amp;#39;s definitely an ai generated presenter. Voice to video. 100%&lt;br&gt;&lt;br&gt;I been noticing them slipping cgi people in car commercials and others. &lt;br&gt;&lt;br&gt;This is how they subliminally condition you to not being able to tell.</t>
  </si>
  <si>
    <t>At &lt;a href="https://www.youtube.com/watch?v=eTDz3aGc1TQ&amp;amp;t=3m55s"&gt;3:55&lt;/a&gt; or there abouts you say something about a hit to response time using FSR3 and frame generation.  Do you have proof for that?&lt;br&gt;&lt;br&gt;I don&amp;#39;t see why a GPU generating a frame is going to hurt response time unless it puts a much larger load on the CPU as in pushes it up over 80% because otherwise the CPU has the threads to process any user input immediately.&lt;br&gt;&lt;br&gt;So where does this data come from that shows hits to response time when using frame generation?</t>
  </si>
  <si>
    <t>Dude, AMD is putting out the 8000 series with GPU and NPUs built in.  AMD has multiple times now with Zen given a release that&amp;#39;s a YEAR later a new part number lineup, and BECAUSE OEMs are going to build systems with these, the OEMs will WANT the new branding.&lt;br&gt;&lt;br&gt;Get over yourself and your petty issues.  The main releases for Zen new product lines have been 1000, 2000, 3000, 5000, 7000 and next will be 9000.  So what??  It adds confusion to idiots.  I know EXACTLY what the 4000 and 6000 parts are and I know what the 8000 parts are, and I understand WHY AMD has to renumber a new line of products when they come out in a different year and it&amp;#39;s because of the OEM market.&lt;br&gt;&lt;br&gt;Go attack Dell, Lenovo, HP, etc... for wanting rebranding</t>
  </si>
  <si>
    <t>It didn&amp;#39;t go to well for the last vehicle controlled by a controller.. lol</t>
  </si>
  <si>
    <t>this is basically an hololens</t>
  </si>
  <si>
    <t>There&amp;#39;s a hole in the screen, Why no underscreen camera.</t>
  </si>
  <si>
    <t>I can&amp;#39;t believe they didn&amp;#39;t mention anything about AI...</t>
  </si>
  <si>
    <t>@@lasaldude so, basically making the same chip over and over again is the future...?&lt;br&gt;then freeze me and put me in the past.</t>
  </si>
  <si>
    <t>@@dt6esdff413 i&amp;#39;m pushing 50 ya lil whippersnapper!&lt;br&gt;respect your elders!</t>
  </si>
  <si>
    <t>Like I said before.....&lt;br&gt;All the companies are STUCK!&lt;br&gt;NOW they are relying on AI to get them ahead of the game.&lt;br&gt;Damn shame.</t>
  </si>
  <si>
    <t>Bit early in the year to be starting a whole new generation. Lol.</t>
  </si>
  <si>
    <t>Tbf, AMD&amp;#39;s MI300 is genuinely more powerful hardware than what Nvidia or anyone else has. Seems weird not to account for that in your little rant. Too much nuance required? _xD83E__xDD14_</t>
  </si>
  <si>
    <t>As opposed to...?</t>
  </si>
  <si>
    <t>M8 everyone and their mother is parroting the AI revolution bs. It has nothing to do with ‘copying Nvidia’… it’s just that every time you say AI stock go up. Not sure why, as AI has very limited new use cases within the past 24 months, and most of those are… probably illegal due to copyright… and all the rest have existed for ten years or more… but hey, stock market is stock market…</t>
  </si>
  <si>
    <t>wow that angry guy got banned lol</t>
  </si>
  <si>
    <t>You sound like someone having hard time graduating from high school...</t>
  </si>
  <si>
    <t>&lt;a href="https://www.youtube.com/watch?v=L1dEFfar3WY&amp;amp;t=3m55s"&gt;3:55&lt;/a&gt; that seems to be a bit too unrealistic. Running Cyberpunk at full HD with no GPU? How many FPS? Without it being a studder fest?</t>
  </si>
  <si>
    <t>I genuinely thought at the end it was going to be a big reveal that they were all AI generated lol</t>
  </si>
  <si>
    <t>She&amp;#39;s moving like she&amp;#39;s AI generated.. lol</t>
  </si>
  <si>
    <t>lol</t>
  </si>
  <si>
    <t>Fire everyone</t>
  </si>
  <si>
    <t>@@myusrnGood point.</t>
  </si>
  <si>
    <t>With all due respect to these comments, and to AMD, this whole AI thing is moving way to fast without enough discussion about any possible negative consequences, IMO.  There will be laptops coming out this year with a Microsoft Copilot key built right into their keyboards whether or not people want it, for crying out loud.</t>
  </si>
  <si>
    <t>_xD83E__xDD16_ skynet technology tobe its dream come true _xD83D__xDCA1_</t>
  </si>
  <si>
    <t>not impressed. There is a reason most robot vacuums have a max height form factor</t>
  </si>
  <si>
    <t>We need to stop calling them &amp;quot;AI&amp;quot; and start calling them &amp;quot;plagiarism engines.&amp;quot;&lt;br&gt;&lt;br&gt;The multi-band functionality of Wi-Fi 7 probably should have happened long ago.&lt;br&gt;&lt;br&gt;Now that Nvidia has officially killed PC gaming, those new AMD APUs look really interesting. Maybe I will build an ITX machine for running Office and streaming apps.</t>
  </si>
  <si>
    <t>What do u mean _xD83D__xDE2E_</t>
  </si>
  <si>
    <t>I wish Gordon was there to_xD83D__xDE1E_</t>
  </si>
  <si>
    <t>Wat</t>
  </si>
  <si>
    <t>@@TheRealJohnHooper 2023 was a very rough year for Brad and family, and it leaked  a bit into 2024.</t>
  </si>
  <si>
    <t>i am amazed at how good Brad looks given the past few weeks.</t>
  </si>
  <si>
    <t>Yes! The end of the video is one of those moments where you&amp;#39;re like: Why haven&amp;#39;t we been doing this all along!? And maybe it will take out a lot of the reason to buy a pre-built PC?</t>
  </si>
  <si>
    <t>Almost 8 minutes straight of listening to, and looking at, your talking head has convinced me not to watch your CES coverage.</t>
  </si>
  <si>
    <t>They may tell you they want to &amp;quot;re-shore,&amp;quot; but they really don&amp;#39;t. Re-shoring comes with a lot of baggage. To understand one must study political economy, capital flows and the tensions between labor, management and finance.</t>
  </si>
  <si>
    <t>I&amp;#39;m interested in the new EV cars</t>
  </si>
  <si>
    <t>An argument for automation is bowling. The end of the alley used to manned by someone who reset pins and sent the ball back</t>
  </si>
  <si>
    <t>Big machines hard to transport and they break down a lot</t>
  </si>
  <si>
    <t>Thanks for taking us to the conference with you _xD83D__xDC4A__xD83C__xDFFD__xD83D__xDE03_ your SSNT is still mooning  _xD83D__xDE80_ _xD83C__xDF1D_</t>
  </si>
  <si>
    <t>that 32 4k is ugly designed .. looks so cheap</t>
  </si>
  <si>
    <t>No. It is qd-oled v.3 panel with improved processor and some other tweaks. And yeah...matte coating noone asked about</t>
  </si>
  <si>
    <t>Yeah it is unnecessary. We got many options to chose from with glossy coating.</t>
  </si>
  <si>
    <t>Like EVERYTHING went wrong here. Matte coating on the oled...this white bezels to distract you.&lt;br&gt;Noone asked about this and they ruin it in every way they could_xD83D__xDE22_</t>
  </si>
  <si>
    <t>Is this a new Neo G9 57? Or is this the one already available?</t>
  </si>
  <si>
    <t>Looks like a biggest samsung fail for samsung ever in gaming pc and tv series _xD83D__xDE02_ fck that matt finiah</t>
  </si>
  <si>
    <t>@@EK-xy7xbyeah sadly it isn’t a 3rd gen, but I believe the design of it is the newer design which I prefer.</t>
  </si>
  <si>
    <t>Ready to buy the new 49inch OLED! It&amp;#39;s literally perfect.</t>
  </si>
  <si>
    <t>Good luck for the clowns of Samsung selling a 4k 240hz with displayport 1.4 and a matte coating next to the hp, active cooled, glossy finish and displayport 2.1..._xD83E__xDD21__xD83E__xDD21__xD83E__xDD21_</t>
  </si>
  <si>
    <t>TT has beautiful cages! Well, also fans etc _xD83D__xDE02_</t>
  </si>
  <si>
    <t>Imagine stuffing an ITX board with a 420mm radiator in the Tower 300 lol</t>
  </si>
  <si>
    <t>Where are the Cube PC Cases? You know the Cube ATX cases with the motherboard horizontal instead of vertical. What happened to them? Where are the Dual System PC cases? Where are the PC Cases that look like robots or alien space ships, Star Wars, etc...?  Those PC cases I see, don&amp;#39;t impress me.</t>
  </si>
  <si>
    <t>no Noctua brown???</t>
  </si>
  <si>
    <t>Laying it down looks cool, but they need to work on the software for the screen so you can rotate the display 180 degrees. But I can see the 200 being dropped from the line up next year. This one will be much more popular.</t>
  </si>
  <si>
    <t>150 bucks is not bad at all</t>
  </si>
  <si>
    <t>Awesome look chases</t>
  </si>
  <si>
    <t>The 240hz 4K one is using qd oled gen 3 panels is it not!? That’s my understanding</t>
  </si>
  <si>
    <t>3440x1440 is not enough at that size I just came from the 45&amp;#39;&amp;#39; lg oled  240hz just to see how 240hz on oled is spoiler its out of this world coming from 4k @ 120hz oled so much so I want 240hz as my standard high refresh rate now long story short I dropped the lg 45&amp;#39;&amp;#39; 240hz oled for the odyssey neo g9 57&amp;#39;&amp;#39; for the simple reason the lg  3440x1440 oled could not get bright enough and hdr did not wow me like this samsung va monitor is plus the resolution on this is  high enough at 4k @ 240hz or 7680x2160 @ 120hz @@phero6933</t>
  </si>
  <si>
    <t>yes it will my odyssey neo g9 57&amp;#39;&amp;#39; runs 4k @ 240hz over dp 1.4 the downside is I have to use dp to get 4k screen res if I use hdmi I don&amp;#39;t get that option</t>
  </si>
  <si>
    <t>yeah I am waiting on that one  1440p is nice and all but I also want 4k for single player games and I can just play 1080p @ 480hz for competitive @@emiel255</t>
  </si>
  <si>
    <t>so that frame rate boost lets you select 480hz while using 1080p screen resolution ?</t>
  </si>
  <si>
    <t>The new cable management looks great, TOO BAD THEIR SOFTWARE IS TRASH</t>
  </si>
  <si>
    <t>Pretty disapointed the 32&amp;quot; monitor is flat. I noticed I benefit a lot from a curve for my perephrial vision in competitive fps games.</t>
  </si>
  <si>
    <t>Great advances well done Asus. Would have liked to see AMD in the g16 this year though</t>
  </si>
  <si>
    <t>its eco-system, NOT echo-system...</t>
  </si>
  <si>
    <t>Z.E.P.H.G</t>
  </si>
  <si>
    <t>Jake and Whitson using different microphones but I cannot tell the difference hearing them when I close my eyes.</t>
  </si>
  <si>
    <t>The 800r monitor looks tasty , also I cant wait to try the NX low profile !!! &lt;br&gt;When are we getting chariot 2 ?</t>
  </si>
  <si>
    <t>Man Asus ROG never disappoints. They are a great company with great PCs.</t>
  </si>
  <si>
    <t>ZEPHYRUS G is _xD83D__xDD25__xD83D__xDD25__xD83D__xDD25__xD83D__xDE29_&lt;br&gt;All I need to Game &amp;amp; Work</t>
  </si>
  <si>
    <t>Do you know anything about the ASUS ROG Flow Z13/14 series 2024?</t>
  </si>
  <si>
    <t>Where is new rog strix laptop?</t>
  </si>
  <si>
    <t>@@bobsmithson8592 naw, MSI and Alienware both with QD OLED 4K 240hz is only 1199, seriously. Please _xD83D__xDE4F_ look for yourself. It’s gonna be like butter, ugh very excited</t>
  </si>
  <si>
    <t>4K 240hz QD OLED monitors only 1199, Let’s Go !!!!</t>
  </si>
  <si>
    <t>On the way to sell my organs</t>
  </si>
  <si>
    <t>On sale maybe _xD83D__xDE05_</t>
  </si>
  <si>
    <t>Those fittings actually look really good quality.</t>
  </si>
  <si>
    <t>Why ?</t>
  </si>
  <si>
    <t>I thought that. Who was it though ?</t>
  </si>
  <si>
    <t>Pretty sure they are both mods. Surely they aren’t selling a giant sneaker. I saw unbox therapy looking at one of cooler masters shoe things but he hasn’t a clue what he is talking about so I lost interest.</t>
  </si>
  <si>
    <t>That&amp;#39;s because you are NOT the target audience for this TV.&lt;br&gt;&lt;br&gt;Move on.</t>
  </si>
  <si>
    <t>Sony and TCL already did_xD83E__xDD37__xD83C__xDFFE_‍♂️</t>
  </si>
  <si>
    <t>I love the colors,  blks &amp;amp; everything&amp;#39;s, BUT comes to Dolby Vision is  sux!</t>
  </si>
  <si>
    <t>Ahhh speak for yourself. LOL..</t>
  </si>
  <si>
    <t>That UX 110 is a complete system that we&amp;#39;ve been looking for as movie lovers. Built in Stand and Sound System...WOW..Also that Laser TV has us thinking as well.</t>
  </si>
  <si>
    <t>So no info on if these &amp;quot;new&amp;quot; panels are different from last years.  No info on if they use a traditional RGB pixel array. No info on DisplayPort version, no info on if the 32&amp;quot; uses DPC at 240Hz... Not good at all...</t>
  </si>
  <si>
    <t>No. It&amp;#39;s a production vehicle</t>
  </si>
  <si>
    <t>_xD83D__xDD25__xD83D__xDD25__xD83D__xDD25_</t>
  </si>
  <si>
    <t>insane</t>
  </si>
  <si>
    <t>Entirely boring. I&amp;#39;m sorry, but this is NOT a good CES for Samsung at all this year. None of what they announced is going to move the needle for them at all.</t>
  </si>
  <si>
    <t>&lt;a href="https://www.youtube.com/watch?v=aslbdFLvxvg&amp;amp;t=2m44s"&gt;2:44&lt;/a&gt; Isn&amp;#39;t it amazing to see the tablet mode transition? A quick switch to another form factor (magical). &lt;a href="https://www.youtube.com/watch?v=aslbdFLvxvg&amp;amp;t=3m43s"&gt;3:43&lt;/a&gt; I love that smooth transition of the thinkbook into a detachable tablet, the detachable aspect is a must-have feature for me. &lt;a href="https://www.youtube.com/watch?v=aslbdFLvxvg&amp;amp;t=4m04s"&gt;4:04&lt;/a&gt; I love that you can have both of two worlds a fully functional laptop to a functional tablet.</t>
  </si>
  <si>
    <t>&amp;gt;&amp;lt;&amp;gt;&amp;lt;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5:19-26).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</si>
  <si>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Omg yay maybe their ai home robot can show LG some empathy for how dumb this all was… cause I got none…</t>
  </si>
  <si>
    <t>still waiting for a day where a person like kayaba akihiko would come and change the world of gaming!</t>
  </si>
  <si>
    <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</si>
  <si>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I actually saw a self-parking car in a kdrama just a few days ago!  The driver got out of the car, pressed a button on his car key, and the car backed into a parking spot with two cars on either side.</t>
  </si>
  <si>
    <t>What a talent from the creator of that ai _xD83D__xDD25_</t>
  </si>
  <si>
    <t>@@s_q_u_i_d_f_i_s_h cybertruck will sell at least at first due to hype, then dwindle down when people realise its specs and price are worse than what a startup managed to build and with an actual interior instead of a screen</t>
  </si>
  <si>
    <t>And a bit of a &amp;quot;profile boost&amp;quot; for LG to say look what we can do and why you should buy LG.</t>
  </si>
  <si>
    <t>480hz oled is a huge deal. If you know anything about panel tech you know plasma and crt have motion handling that even oled hasn’t matched. At 480hz, oled is beginning to approach that level of smoothness. It’s a big deal.</t>
  </si>
  <si>
    <t>Why the audio sound like it’s going through autotune?</t>
  </si>
  <si>
    <t>any new Samsung Sound bars????</t>
  </si>
  <si>
    <t>Yep 200 inches and beyond _xD83C__xDF89_</t>
  </si>
  <si>
    <t>Is an A80L a good buy now? Or wait until they release a brighter version at the end of the year?</t>
  </si>
  <si>
    <t>Yeah i have seen Hisnse having TVs in 120’ in Chinese site. They just dont come here yet. I assume will come soon once ppl want bigger TVs.</t>
  </si>
  <si>
    <t>LG got surprises this year it seems like _xD83D__xDE0A_</t>
  </si>
  <si>
    <t>Gimmick…. Sony, stop it…</t>
  </si>
  <si>
    <t>Also it&amp;#39;s an AI presenter</t>
  </si>
  <si>
    <t>If you ever attended a show like this, you would know it&amp;#39;s overwhelming and it&amp;#39;s definitely exhausting.</t>
  </si>
  <si>
    <t>This year could be just named the Return of LED with every manufacturer taking LEDs to the next level.</t>
  </si>
  <si>
    <t>Sony A95M tv 2024 coming sir ji</t>
  </si>
  <si>
    <t>overlays are something that acts as a touch when you press the button. You can place the icon for the button over the touch button so it activates the touch when you press the button.&lt;br&gt;Most of the apps require root.&lt;br&gt;Most cases a controller registers just fine. Game has controller support so there isn&amp;#39;t any need. IDK.&lt;br&gt;I thought it was a good idea for some games if you don&amp;#39;t want to use the touch pad.&lt;br&gt;Cod mobile only allows console official controllers and a few others. I don&amp;#39;t know why.</t>
  </si>
  <si>
    <t>Thanks for your content. Enjoy your video&amp;#39;s. Very professional.&lt;br&gt;&lt;br&gt;For phone controllers.&lt;br&gt;Gotta work on overlays. I don&amp;#39;t know what root is. Why i need to do it. I wrecked my s3 trying to on there for root. I kinda need a phone to make phone calls really.&lt;br&gt;Having a couple of games on there is pretty cool.</t>
  </si>
  <si>
    <t>Thank you. A great recording. We can&amp;#39;t wait to be there to showcase our latest innovations. We&amp;#39;ll be at Venetian Expo, Halls A-D — 51168, along with our CES 2024 Innovation Award Honoree, espresso 17 Pro _xD83D__xDE4F_</t>
  </si>
  <si>
    <t>I have a lenovo loq with intel 13700h cpu and 4050 nvidia gpu, and I just compared it to the closest equivalent from the 2024 version that they list on their psref site and I gotta say that I&amp;#39;m not entirely convinced by the changes they made.&lt;br&gt;The 13650HX has the same core count, but even though the specs say it has lower clock speeds to the 13700h, reviewers and commenters online say that it still performs better thanks to the higher TDP (55w vs 45w). The 4050 gpu also has a higher tgp compared to the model I have (105w vs 95w) So far so good, but there&amp;#39;s a problem. The model I have has trouble keeping charge when playing with max settings in performance mode with the gpu overclock option from the vantage software enabled with the included 135W charger. So, if the CPU and GPU from the model I&amp;#39;m comparing it to are gonna draw more power and it also includes just the 135W charger, I expect it to lose battery power faster on intensive game sessions.&lt;br&gt;Another weird change is that they have a very similar screen, however the new version has better color gamut (100% srgb) but has a lower peak brightness (300 nits vs 350 nits).&lt;br&gt;Now for the straight up downgrades, they opted for slower memory. Last year&amp;#39;s LOQ used DDR5 5200 but the new model has DDR5 4800. They also switched from a 1080p webcam back to a 720p webcam (which the older ideapad gaming laptops also had). The rest (storage capacity, battery size, speakers and i/o) is the exact same. All that considered, I feel like I got a good deal with the model I got.</t>
  </si>
  <si>
    <t>thinkbook 13x for me please, I hope it comes in another color scheme</t>
  </si>
  <si>
    <t>Legion is useless to me without T-mobile’s 5G.</t>
  </si>
  <si>
    <t>even if it hits 480hz, this video alone shows the JUDDER from the alien UFO between frames. that weird sample/hold jump from one frame to the next. OLED NEEDS Black Frame Insertion. Without it, it kinda sucks.&lt;br&gt;&lt;br&gt;My cellphone is a Sony Xperia 1 Mark 2. 60hz but has BFI. watching movies/anime, there is NO JUDDER. panning shots are smooth thanks to the black frame insertion.&lt;br&gt;&lt;br&gt;Same thing with my Sony A8H 55&amp;quot; Livingroom television. Its 60hz + BFI and watching movies/anime is butter smooth, no JUDDER thanks to black frame insertion.&lt;br&gt;&lt;br&gt;Meanwhile my AW3423DW QD-OLED gaming monitor does NOT have BFI (nor do any of the previous ASUS/LG models) and sadly its judder city. its bad. anime judder is the worst on panning shots. old 24fps movies, same issue. its bad. black frame insertion solves this.&lt;br&gt;&lt;br&gt;FOR GAMING BFI matters for FPS shooter games. to keep track of things when moving your mouse fast. without it, you just get this blur. sure, 1000hz display would be butter smooth with no judder due to the speed of each refresh period (1ms) but sadly you would need 1000fps to drive it. which is impossible. 240hz is the sweet spot right now, as 40% of graphics cards can easily hit those higher frame rates (based on resolution obviously). 240hz + BFI would be god tier. hell 480hz + BFI will be god tier.</t>
  </si>
  <si>
    <t>Don’t call it a 7600xt when you added no new CUs</t>
  </si>
  <si>
    <t>Intel doomed _xD83D__xDE02_</t>
  </si>
  <si>
    <t>they release the apu as 8000 part because it&amp;#39;s pretty much same product as 8000 series laptop version.</t>
  </si>
  <si>
    <t>How so?… it the black would be bright?… how is that helpful?</t>
  </si>
  <si>
    <t>Good stuff !! Are the Samsung 8K models 120hz this year ?</t>
  </si>
  <si>
    <t>Give me a camper van!</t>
  </si>
  <si>
    <t>@@anthonyh2884wish them would speak in Japanese and have a translator</t>
  </si>
  <si>
    <t>I love it since we dont need to have a big black item in our family room.</t>
  </si>
  <si>
    <t>It&amp;#39;s great that you tech nerds love all this stuff, but unless its AV-related I&amp;#39;m afraid I have a very short concentration span. Enjoy the rest of the show.</t>
  </si>
  <si>
    <t>this feels like you&amp;#39;re not sure about how many kids you have _xD83D__xDE02_&lt;br&gt;take care lon, have a great 2024 ❤</t>
  </si>
  <si>
    <t>Looking forward to the Synology booth if they have one this year</t>
  </si>
  <si>
    <t>Not everything needs a screen just to push the price up!</t>
  </si>
  <si>
    <t>I thin k a lot of the tech here cements the fact that we really aren&amp;#39;t going back to the office fulltime since this sort of stuff is geared toward hybrid workers who are working out of coffee shops or in noisy/busy environments</t>
  </si>
  <si>
    <t>Nurse who visited me today had a HP laptop with this slot to securely log in. Didn&amp;#39;t look like a new laptop either.</t>
  </si>
  <si>
    <t>@@user-pu2ro8ok3r transparent OLED tv for home use is impractical. Samsung&amp;#39;s transparent micro-led can be used as what it was demoed during an actual field sports game since micro-led are modular, unlike oleds.</t>
  </si>
  <si>
    <t>Samsung&amp;#39;s transparent Micro-LED is way better with practical implementation, though. LG always lagging behind samsung as always.</t>
  </si>
  <si>
    <t>I could see a couple places at my house where a transparent TV could go, but will it be more expensive than the house itself</t>
  </si>
  <si>
    <t>Love LG I always go with LG or Sony great work on this video</t>
  </si>
  <si>
    <t>Wow I am blown away, that’s some crazy magic they are using</t>
  </si>
  <si>
    <t>The same thing they said about wi-fi 6 _xD83C__xDF89_</t>
  </si>
  <si>
    <t>GIVE ME THEM MICRO LEDs!!!!</t>
  </si>
  <si>
    <t>The video we needed on Samsungs CES 24 booth - Hero status FOMO!</t>
  </si>
  <si>
    <t>Awesome and unique video!</t>
  </si>
  <si>
    <t>Very cool FOMO.  Hey everyone.</t>
  </si>
  <si>
    <t>Nice video ❤</t>
  </si>
  <si>
    <t>Forget driverless. I&amp;#39;m sure many people in India will buy the small one just for that crazy 90 degree turn.</t>
  </si>
  <si>
    <t>Why jeopardize everyone&amp;#39;s hard work, with such a terribly communicated presentation?! The broken English is unacceptable. That&amp;#39;s like me trying to sell a new product to latinos/latinas and speaking Spanglish the whole.</t>
  </si>
  <si>
    <t>Wow, so many rude people in this comment section. Try speaking Japanese at a presentation to a audience in japan… see whos laughing now _xD83D__xDE0A__xD83D__xDE0A__xD83D__xDE0A_❤❤</t>
  </si>
  <si>
    <t>I got excited through the thumbnail haha... If only Sony made a wireless headset that rivaled the Quest line up, I would bounce on that for sure.</t>
  </si>
  <si>
    <t>&amp;quot;Important partner Microsoft&amp;quot; interesting</t>
  </si>
  <si>
    <t>Sony is tripping hard! They really want us to be playing Fortnite while driving? WTF?</t>
  </si>
  <si>
    <t>i think it looks pretty darn slick. paired with a backbone or similar usb controller grip it looks like a decent option for people looking for a modern gaming phone</t>
  </si>
  <si>
    <t>i like a lot the fridge scanning thing and the new BOOKS :)</t>
  </si>
  <si>
    <t>Take a shot of tequila every time he says AI. Lol</t>
  </si>
  <si>
    <t>Can we have sturdier appliances instead? My LG aircon broke easily though it has &amp;quot;smart capabilities&amp;quot;</t>
  </si>
  <si>
    <t>I&amp;#39;m surprised they didn&amp;#39;t announce they were changing their company name to sAImsung</t>
  </si>
  <si>
    <t>Harder to enforce NDAs?  Dunno.</t>
  </si>
  <si>
    <t>i cant wait to see the full specs list on this TVs but so far i am going with the LG G4 as my TV.</t>
  </si>
  <si>
    <t>So much useless shit hahaha. The AI binoculars were legit though</t>
  </si>
  <si>
    <t>It&amp;#39;s a reaction to the massive sales of the Switch. Valve has nothing to do with it, Steam Deck barely sells any units in comparison. The Asus Rog Ally was also in development before the Steam deck launched.</t>
  </si>
  <si>
    <t>I&amp;#39;m interested in Matter Smart Home devices for 2024 _xD83E__xDD17_</t>
  </si>
  <si>
    <t>The black roll down/up film. Zero light against a perfect black background.</t>
  </si>
  <si>
    <t>In the future they would be amazing in front of a window assuming direct sunlight being an issue could be resolved. Assuming you don&amp;#39;t need to open the window of course.&lt;br&gt;&lt;br&gt;If the best place to put your TV would be in front of the window but you don&amp;#39;t because you don&amp;#39;t want to block the view when not in use for example.&lt;br&gt;&lt;br&gt;Or just as an art piece if you can think of something interesting to put behind it.&lt;br&gt;&lt;br&gt;A gimmick for now and overpriced I&amp;#39;d imagine. But if the Samsung frame can exist why not I guess.</t>
  </si>
  <si>
    <t>I mean sure. A prototype EV Bugatti is better than a Toyota Corolla too. Guess which of those you can actually buy and afford.</t>
  </si>
  <si>
    <t>The transparent screen is a gimmick.  Not that there&amp;#39;s anything wrong with gimmicks and art. If it was like $400 I could be tempted to do something fun with it. But ain&amp;#39;t no one gonna buy that at the prices it will be for a worse TV than the G series.&lt;br&gt;&lt;br&gt;As for the new panels please please tell me they&amp;#39;ve stopped the trend of putting the 83&amp;quot; on the previous year&amp;#39;s panel and it&amp;#39;s getting it too and those extra 6 inches are priced appropriately above the 77&amp;quot; model.. please _xD83E__xDD7A_</t>
  </si>
  <si>
    <t>&amp;quot;use it as an actual window?&amp;quot; Yeah, that would be called the REAL WINDOW that is already in your house. And the &amp;quot;pretend&amp;quot; fish tank? Yep that&amp;#39;s called a REAL fish tank with REAL fish.......How stupid are people to buy into this nonsense that is being sold?</t>
  </si>
  <si>
    <t>Nice GIMMICKY fish tank/Tv/Whatever LG.......I&amp;#39;ll stick with the BEST quality TV in the market for the past 60+ years...SONY.</t>
  </si>
  <si>
    <t>No 144Hz on the C4?</t>
  </si>
  <si>
    <t>I&amp;#39;ve never heard of this but the commenters are saying it&amp;#39;s been around for quite a long time. Sounds like something most ppl don&amp;#39;t need.</t>
  </si>
  <si>
    <t>Razer blade just sucks idk why thry soo expensive.</t>
  </si>
  <si>
    <t>If anything else the 4080 super coming out now at $999 means the 5090 won&amp;#39;t be priced ridiculously. I&amp;#39;m guessing it will be the same $1600</t>
  </si>
  <si>
    <t>I&amp;#39;m looking forward to the huge TV&amp;#39;s ‼️_xD83E__xDD2C__xD83D__xDE0A_</t>
  </si>
  <si>
    <t>I&amp;#39;m excited when this drops under 4k€ _xD83D__xDE02_</t>
  </si>
  <si>
    <t>Does this make my laserdiscs look better? does it have S-Video?</t>
  </si>
  <si>
    <t>I would say it’s more for commercial purposes like businesses who want to portray advertisements on the screen</t>
  </si>
  <si>
    <t>&amp;quot;It&amp;#39;s those damn tv&amp;#39;s!  They&amp;#39;re so transparent right now!&amp;quot; - Mugatu@CES</t>
  </si>
  <si>
    <t>Basically, a showstopper but ZERO practical consumer use.</t>
  </si>
  <si>
    <t>Naw actually 1200 not a bad price</t>
  </si>
  <si>
    <t>Ik thats what im waiting for to see my future monitor</t>
  </si>
  <si>
    <t>So I can either run 4K 144hz or have the option for 240hz lower resolution yeah?@@ployth9000</t>
  </si>
  <si>
    <t>Will 1.4 hold that 32&amp;quot; 4K 240hz monitor back at all not being 2.1?</t>
  </si>
  <si>
    <t>@@ShimejiiGaming ik qd is a bit better but its only 360hz</t>
  </si>
  <si>
    <t>​@@AL-lh2htidk which to get i want qd oled 1440p at 480hz but should i get the lg? Or the samsung?  I like Samsung so i guess I&amp;#39;ll go with that</t>
  </si>
  <si>
    <t>@MCTrick69  yea, its still very noticeable</t>
  </si>
  <si>
    <t>I can notice 144 to 165 to 180 to 240 to 360 to 480hz big difference,  everyone is differen though its only for people who care and will notice</t>
  </si>
  <si>
    <t>why didnt you talk about the UCDM? Asus QD-OLED?</t>
  </si>
  <si>
    <t>@JasonVanPatten  notice they mention 4k 240hz and all the new features, because it&amp;#39;s dp 1.4 unfortunately.  The target demographic audience is likely current generation gamers. Can a 7900xtx handle 4k 240hz I guess with compromising some visual quality in some titles to hit maximum frames per second latency , the 4090  which became even more out of reach ( due to current pricing)would have to use dsc, and maybe the new 4080 super cards same boat but also compromise  both visual quality and using dsc. _xD83E__xDD14_.  A Republic of gamers that don&amp;#39;t know what gamers want! _xD83E__xDD2A_</t>
  </si>
  <si>
    <t>I&amp;#39;m personally waiting for 2025 to upgrade my CX 48 oled in time for Blackwell and dp2.1 monitors to flood the market.</t>
  </si>
  <si>
    <t>again no 34inch FLAT OLED 3440x1440 monitors _xD83D__xDE2D__xD83D__xDE2D__xD83D__xDE2D__xD83D__xDE2D__xD83D__xDE2D_</t>
  </si>
  <si>
    <t>This might be samsungs first 32 inch 4k qd-oled, but its not &amp;quot;the first&amp;quot;. Id say its never a good idea to make those claims if you dont know/havent made the rounds, we will never know who&amp;#39;s &amp;quot;first&amp;quot; in these things, but in this case, alienware has the same panel on display, and msi has already sent theirs out to reviewers too, plus probably others</t>
  </si>
  <si>
    <t>Ultrawide....or nothing.</t>
  </si>
  <si>
    <t>This is the next big step towards VR, cant wait to see how it evolves over time</t>
  </si>
  <si>
    <t>now I need new 3d movies!!!</t>
  </si>
  <si>
    <t>Ok sure it&amp;#39;s pretty cool</t>
  </si>
  <si>
    <t>That 27“ LG OLED monitor has the best image quality I’ve ever seen. I think it’s the extra clear glossy coating that makes a difference. Glossy for a monitor. Anti-glare for a TV. I believe that’s how things should be.</t>
  </si>
  <si>
    <t>❤❤❤❤ nicely done KIA</t>
  </si>
  <si>
    <t>I remember them selling bootleg cars of major automakers...look at them now _xD83D__xDE05_</t>
  </si>
  <si>
    <t>if they can get the utility can out fast there goes rivian’s and ford’s market.  rush it out of concept!!!</t>
  </si>
  <si>
    <t>..so a Canoo knockoff</t>
  </si>
  <si>
    <t>I can see South Park making a episode about these cars</t>
  </si>
  <si>
    <t>While true for now, this trailer clearly shows a future 3-5 years from now, where their cars (and these robot arms) not only exist, but are normal and ubiquitous. Quite possibly OSHA standards might change by then too.</t>
  </si>
  <si>
    <t>What happened?</t>
  </si>
  <si>
    <t>&lt;a href="https://www.youtube.com/watch?v=edHXMHxVHj4&amp;amp;t=3m27s"&gt;3:27&lt;/a&gt; at this moment I thought I forgot to close some tabs in the background _xD83D__xDE02_</t>
  </si>
  <si>
    <t>hi!! I miss doing the podcast and talking to our viewers too _xD83D__xDE41_</t>
  </si>
  <si>
    <t>thank you! I had a lot of delicious food so far_xD83D__xDE05_</t>
  </si>
  <si>
    <t>thank you!!</t>
  </si>
  <si>
    <t>You will be the first to know about everything new that is ready to appear in people’s lives and tell you as much as possible about everything important. After all the previously incessant torments of mankind, from the second half of the last century, a technological and aesthetic era began and continues with a gigantic increase in the well-being and joy of people.</t>
  </si>
  <si>
    <t>That might be less weird than some of the AI announcements</t>
  </si>
  <si>
    <t>Sony need to stop making new headsets and start supporting their existing headsets with decent software. I’m looking at you PSVR2.</t>
  </si>
  <si>
    <t>It will be great if available for PC monitor</t>
  </si>
  <si>
    <t>They said &amp;quot;AI&amp;quot; more often than Apple said &amp;quot;5G&amp;quot; during the iPhone 12 keynote</t>
  </si>
  <si>
    <t>no dlss 3 for the 30 series of gpu is criminal</t>
  </si>
  <si>
    <t>Lol</t>
  </si>
  <si>
    <t>Well that was a snooze fest. But at least it wasnt all about AI like what was talked about endlessly at other events at CES. I have seen nothing at CES so far that interests me one bit.</t>
  </si>
  <si>
    <t>I like Frank Lee. This guy is full of enthusiasm.</t>
  </si>
  <si>
    <t>Like it or not, AI is the future!</t>
  </si>
  <si>
    <t>Hey LG - Turn that transparent TV into something useful, IE a heads up display for glasses so we can wear augmented reality all the time. Google glass was just the beginning.</t>
  </si>
  <si>
    <t>From this video, apparently CES is nothing but dumb shit.</t>
  </si>
  <si>
    <t>Love seeing Sharge, formerly Shargeek. Hate their products because they’re terrible, but love the fact that they’re showing off tech they have been selling for about a year and is garbage.</t>
  </si>
  <si>
    <t>That&amp;#39;s exactly what I was thinking. XREAL glasses would benefit so much from this tech</t>
  </si>
  <si>
    <t>looks like CES is empty this year... thanks for the vid, appreciate it!</t>
  </si>
  <si>
    <t>I love CES!!</t>
  </si>
  <si>
    <t>That Ice cream machine would quite literally be dangerous to own</t>
  </si>
  <si>
    <t>Great round up! Pepcom really was the best event this year, I’d argue it was even better than the Venetian show floor</t>
  </si>
  <si>
    <t>There&amp;#39;s a limit.</t>
  </si>
  <si>
    <t>Most hardware with &amp;quot;an app&amp;quot; is now a waste of time. Designers just being lazy.</t>
  </si>
  <si>
    <t>So absolutely nothing new again. Year after year...</t>
  </si>
  <si>
    <t>It&amp;#39;s been irrelevant. A lot of the products showcased don&amp;#39;t even get made and many times it&amp;#39;s on purpose. Companies spend a lot of money just to get eyeballs on them for investment but with no real plans to make good products.</t>
  </si>
  <si>
    <t>@@FreddyGamerPhilosopher It&amp;#39;d be even worse if it was open to the public</t>
  </si>
  <si>
    <t>This is asking for trouble</t>
  </si>
  <si>
    <t>Please find out when will we get Tri-Fold Phones Tab Laptops</t>
  </si>
  <si>
    <t>Until iphone releases one _xD83D__xDE02__xD83D__xDE02__xD83D__xDE02_</t>
  </si>
  <si>
    <t>Take notes Apple</t>
  </si>
  <si>
    <t>Thanks for covering some of the smaller cool tech at CES!</t>
  </si>
  <si>
    <t>That looks too futuristic for my taste... lets give it another 20 years at least.</t>
  </si>
  <si>
    <t>goofy ahh car</t>
  </si>
  <si>
    <t>You can feel it when an empire is going down</t>
  </si>
  <si>
    <t>Too many promises but no action,,Honda san _xD83D__xDE0A_</t>
  </si>
  <si>
    <t>Useless technology.</t>
  </si>
  <si>
    <t>omg… lg able makes tesla look like an analog phone. _xD83E__xDD26_‍♂️_xD83E__xDD26_‍♂️_xD83E__xDD26_‍♂️ tesla is obsolete.</t>
  </si>
  <si>
    <t>Washington post?</t>
  </si>
  <si>
    <t>&amp;quot;Companion robot&amp;quot; the word you&amp;#39;re looking for is &amp;quot;droid&amp;quot;</t>
  </si>
  <si>
    <t>@@nuancesoffate dude fr an average tesla battery replacement 10k the least LMFAO</t>
  </si>
  <si>
    <t>do some more powerful APU for the Steam Deck 2 and hopefully we will see it in 2025 ❤</t>
  </si>
  <si>
    <t>Man i really hope this is cooking in the labs somewhere. Feels like such a missed opportunity.</t>
  </si>
  <si>
    <t>Please send me ROG products</t>
  </si>
  <si>
    <t>Love the products but hate the terrible audio .</t>
  </si>
  <si>
    <t>Why</t>
  </si>
  <si>
    <t>This and the flips between &amp;quot;1.4 x&amp;quot; and &amp;quot;1.4 times&amp;quot; made me really wonder if the reveal was going to be that he was real time rendered on the 4080 super.</t>
  </si>
  <si>
    <t>That’s a pretty great comment</t>
  </si>
  <si>
    <t>&lt;b&gt;Is this the guy ruining Nvidia&amp;#39;s pricing??&lt;/b&gt; _xD83D__xDE05_</t>
  </si>
  <si>
    <t>Said no one ever</t>
  </si>
  <si>
    <t>Even Nvidia can&amp;#39;t decide if it&amp;#39;s &amp;quot;T-I&amp;quot; or &amp;quot;tie&amp;quot;, it&amp;#39;s both, lol.</t>
  </si>
  <si>
    <t>It depends on your experience, tbh. Some can tell the difference between 240hz vs 360hz, and some can’t. The response time of the panels might also affect the end result as well.</t>
  </si>
  <si>
    <t>@@AL-lh2ht These made for Esports titles, which i play Counter strike so. Refresh rate matters a little but it will come down to the quality of the screen and if there are any issues. I like QD oled&amp;#39;&amp;#39;s colors more then the WOLED, but i dont like samsung&amp;#39;s track record when it comes to montiors. Hopefully the Samsung  Display arm really makes sure that they dont fuck this generation up like the last one.</t>
  </si>
  <si>
    <t>@@nttinvis The 480hz panel is LG. The 360hz panel is Samsung.</t>
  </si>
  <si>
    <t>This year its going to be between this and the 360 hz one. Depending on what has the better Finish on the screen and QC checks making sure bad panels dont get through.</t>
  </si>
  <si>
    <t>Which model is better?</t>
  </si>
  <si>
    <t>&lt;a href="https://www.youtube.com/watch?v=1W0PDmVgplg&amp;amp;t=00m27s"&gt;00:27&lt;/a&gt; the 18 inch arshole not the little shit laptop , the big one where is it?</t>
  </si>
  <si>
    <t>Nope</t>
  </si>
  <si>
    <t>Don’t buy the spectre. Mine died after 14 months.</t>
  </si>
  <si>
    <t>From the folks that brought you Betamax.  Dude!  I don&amp;#39;t understand what you&amp;#39;re saying.  Yawn...  Zzzzzzz....</t>
  </si>
  <si>
    <t>@@bsdpowa it’s all good man; I found out through articles on the phones (Android Authority and Phone Arena). $1100 and $1500 for two years is atrocious.</t>
  </si>
  <si>
    <t>@@bsdpowa ROG is a separate division that is responsible for the production and upkeep of their phones and software, yes Asus is responsible for the OS updates. Reading helps. Look at every review of the phone, it explains it. “Techies” these days.</t>
  </si>
  <si>
    <t>ROG needs to offer more OS updates. 2 at that price is ridiculous.</t>
  </si>
  <si>
    <t>​@Somethingfs-sx1ft  Many high performance laptops lower their max performance when disconnected from their power cable. This would just be a more dedicated computing device. I&amp;#39;m definitely interested in it...</t>
  </si>
  <si>
    <t>Android has absolutely no idea how to manage 24GB of RAM, lol.</t>
  </si>
  <si>
    <t>@@jiggerypokery2962 yet they are the future. As a GenX i can see how weird they can but I think how a person/generation thinks is irrelevant.  the faster you let the wheel to them, the better.  Becasue Boomers are ancient and GenX is old.  Must  make way for the new trying to protect the old ways is nothing new but it sure is not progressive.</t>
  </si>
  <si>
    <t>Sony, hire some young people to give you some perspective please.</t>
  </si>
  <si>
    <t>Just what every buisness needs, millenials.</t>
  </si>
  <si>
    <t>@@joaquinarchivaldoguzmanloe1073 it seems like LG didn’t bring their monitors to CES. That’s a shame, I won’t be waiting on them, probably getting the Alienware or MSI instead.</t>
  </si>
  <si>
    <t>What happened to LG’s monitor exhibition? Nobody has covered it.</t>
  </si>
  <si>
    <t>when is the 6500X planned to launch? is it the same 1 month as the 2500X? and what will the prices be?</t>
  </si>
  <si>
    <t>Awesome! The only thing missing was video game presentations but overall, loved it!</t>
  </si>
  <si>
    <t>Some people have frame TVs to display artwork. This serves a similar function, but on a grander scale.</t>
  </si>
  <si>
    <t>A lot of naysayers in the comments. Some people buy frame TVs. This is another level.</t>
  </si>
  <si>
    <t>It may be niche but honestly I&amp;#39;m all for transparent displays. Just because the majority of people won&amp;#39;t have the imagination to put it to good use, doesn&amp;#39;t mean it shouldn&amp;#39;t be made and kept around.</t>
  </si>
  <si>
    <t>Next step is holographic display. Cant wait.</t>
  </si>
  <si>
    <t>Love that cool transparent screen, reminds me of holodeck or hologram of Star Trek. I love seeing LG come up with cool new things and thankful for taking a risk on making OLEDs 10 years ago while Samsung didn’t see a future for it. It reminds me of Panasonic Plasma tv that my parents and I had for as first HDTV back in 2008.</t>
  </si>
  <si>
    <t>No way the wireless doesn&amp;#39;t come with compromises like compression and latency. Imagine macro blocking like a Youtube video except its your native TV inputs</t>
  </si>
  <si>
    <t>Again I ask, why are they not putting a dedicated HDMI output on these new TVs?  Get rid of Toslink already!</t>
  </si>
  <si>
    <t>The cats not out of the bag--the cats hiding behind the transparent Oled. Hit the button and there is your cat walking around in a John Wick movie!!</t>
  </si>
  <si>
    <t>Apple has been doing this for years. Just saying.</t>
  </si>
  <si>
    <t>All I see is a bunch of products nobody will be able to afford with the way the economy is going</t>
  </si>
  <si>
    <t>lg car is incredible. We need this in real life already!!! I&amp;#39;m tired of this effing concept cars that never come out!</t>
  </si>
  <si>
    <t>This is the craziest thing I’ve ever seen</t>
  </si>
  <si>
    <t>@@kyb7795 I&amp;#39;m pretty up to date on my tech journalism... but I also don&amp;#39;t see you mentioning any rehashed products that are already available? Let&amp;#39;s look at what was covered from this event.&lt;br&gt;&lt;br&gt;Matrix -- There are 3-in-1 chargers out there but this is the ONLY one that is actually certified and signed off on by Apple. There is only one other MagSafe battery on the market which is by Mophie.&lt;br&gt;OWC -- Sure, there are other SSDs on the market but OWC is very ahead of the curve with these kinds of compact devices that contain literally 8SSD blades on the inside. Let alone the Thunderbolt 5 dock. Thunderbolt 5 isn&amp;#39;t even on many, if any, consumer devices so far.&lt;br&gt;Lockly -- Absolutely the only Apple Home lock that also has facial recognition.&lt;br&gt;Roborock -- Matter is brand new for robotic vacuum cleaners. First couple were announced here at CES this year&lt;br&gt;Aqara -- Very first IR blaster to work with Apple Home. Also only indoor/outdoor lever lock with Apple Home support&lt;br&gt;Meater 2 Plus -- there are other connected probe-style thermometers but the others do not have multiple zones on a single probe&lt;br&gt;Abode -- First security camera to use Wi-Fi HaLow long-range Wi-Fi&lt;br&gt;Mophie -- Qi2 launching here at CES&lt;br&gt;Ecovacs -- Again, Matter enabled. Plus the combo robovac plus stick vac&lt;br&gt;ESR -- Qi2, brand new releasing at CES&lt;br&gt;Scoche -- QI2&lt;br&gt;Anker -- yup, more Qi2. All be released for the first time. No Qi2 device was available before CES 2024.</t>
  </si>
  <si>
    <t>Can you give me a single rehash from someone who already did it already? I believe many if not all of these are firsts.</t>
  </si>
  <si>
    <t>Dont forget my fellow submissive peasents...if its connected to the internet, it can be hacked &amp;amp; your information can be stolen. Theres a reason amazon &amp;amp; goggle wanted to get into the healthcare business _xD83D__xDE02__xD83D__xDE02_</t>
  </si>
  <si>
    <t>Ummm. So boring. Sorry.</t>
  </si>
  <si>
    <t>Wow new kind of video I haven’t seen from you guys before. How cool is that?! Thanks guys!</t>
  </si>
  <si>
    <t>_xD83E__xDD14__xD83E__xDD13__xD83D__xDE0E_</t>
  </si>
  <si>
    <t>Book a flight to CES. Book a hotel. Register online. The whole trip here is out of pocket for us, but getting sponsors to make it worth it.</t>
  </si>
  <si>
    <t>Check out Aiper&amp;#39;s new Scube S1 and S1 Pro with some impressive new features on their website here: &lt;a href="https://aiper.com/aiper-ces-2024/"&gt;https://aiper.com/aiper-ces-2024/&lt;/a&gt;</t>
  </si>
  <si>
    <t>Put your credit card in to activate the keyboard!</t>
  </si>
  <si>
    <t>AMD: Our new CPUs are better because we finally put the mobile GPU into them! WTF is going on???</t>
  </si>
  <si>
    <t>Why does that gill have a sonnet logo on the side? Looks like a really dangerous HDD enclosure.</t>
  </si>
  <si>
    <t>As someone who actually understands what AI is, its really sad to see the word AI being thrown in front of every tech name so they can profit off hype. &lt;br&gt;Theyre going to discredit themselves. Its like how a percentage of the population doesnt respect the word science anymore, because so many people hijacked it to sell BS off hype. Same with Crypto, same with everything else that gets hyped.&lt;br&gt;&lt;br&gt;I really understand the quote &amp;quot;When your shoeshine boy is making recommendations of what to buy in the stock market, its time to get out&amp;quot; alot more these days. The hype machine seems designed to sell lies by piggybacking on truth.</t>
  </si>
  <si>
    <t>It&amp;#39;s sounds fine on my end.</t>
  </si>
  <si>
    <t>The msi cyborg 14 2024 may be what you are looking for it even has the cool transparent underside</t>
  </si>
  <si>
    <t>@@fuzzyhenry2048I KNOW, RIGHT?!</t>
  </si>
  <si>
    <t>The problem is if they won’t here in the us they should learn how to PRONOUNCE AND (actually) SPEAK English.  Otherwise WE can’t understand/comprehend them. _xD83D__xDE12_</t>
  </si>
  <si>
    <t>@@ralfiejr34 Doubt it because it’s not specifically a Play$tation product.</t>
  </si>
  <si>
    <t>I hope this MixedReality/XR headset from $ony gets REAL support like for and from consumers because without it $ony is just repeating Micro$oft’s HoloLens mistakes.&lt;br&gt;&lt;br&gt;Whether it be home media or perhaps gaming, they really seem to have no idea what true potential is being held back because really for AR, ain’t it time to evolve off/away from tiny handheld borders?  I remember years back a demo of something capable of overlaying atmospheric/environmental content to either fit or be placed in real time. That would typically be a great 1st start, scanning overlays including full body even with the right inside out tracking and sensors.</t>
  </si>
  <si>
    <t>​@@jiggerypokery2962Most Millennials are in their 30&amp;#39;s and up. Why not?</t>
  </si>
  <si>
    <t>Personalized ads in a car? No thanks</t>
  </si>
  <si>
    <t>You&amp;#39;re too extra Brian. I like you but you ain&amp;#39;t gotta be so over the top.</t>
  </si>
  <si>
    <t>&lt;a href="https://www.youtube.com/watch?v=sy6DtXbPzeM&amp;amp;t=18m00s"&gt;18:00&lt;/a&gt; This is the future of strip clubs haha</t>
  </si>
  <si>
    <t>&lt;a href="https://www.youtube.com/watch?v=sy6DtXbPzeM&amp;amp;t=5m00s"&gt;5:00&lt;/a&gt; This Pet companion thing is like they were sitting there thinking &amp;quot;What do a bunch of rich ass holes love but also don&amp;#39;t want to take care of......Pets! That is it!&amp;quot; &lt;br&gt;&lt;br&gt;I mean it looks cool but &amp;quot;it can take care of your pet while you are there or away&amp;quot;...if you are there play with your dang dog. &lt;br&gt;&lt;br&gt;I do understand this possibly helping out disabled people, so that is great but guessing it won&amp;#39;t be priced for that.</t>
  </si>
  <si>
    <t>2 hours battery life and 20% better performance?&lt;br&gt;&lt;br&gt;Those are some ambitious claims from Intel and MSI</t>
  </si>
  <si>
    <t>Yes silly them, puttinga actually qualified people on stage.</t>
  </si>
  <si>
    <t>The 2nd presenter is Jokowi _xD83D__xDE02_</t>
  </si>
  <si>
    <t>Someone in the audience mentioned that he wasn&amp;#39;t moving his fingers.</t>
  </si>
  <si>
    <t>Car ? are u drunk</t>
  </si>
  <si>
    <t>Stick Drift Nervousness was Real _xD83D__xDE05_</t>
  </si>
  <si>
    <t>my cat will love balle</t>
  </si>
  <si>
    <t>nice</t>
  </si>
  <si>
    <t>AI is algorithms rebranded. With a new name. They have been headgassing with AI for a while.</t>
  </si>
  <si>
    <t>Watch Security Podcasts AI has 8 vulnerabilities. They know their are there are fatal flaws with it. A voice-over algorithm.</t>
  </si>
  <si>
    <t xml:space="preserve"> https://youtube.com/@LGitaliacs_Official https://youtube.com/@LGitaliacs_Official</t>
  </si>
  <si>
    <t xml:space="preserve"> https://www.youtube.com/watch?v=PMW01KBO_R8&amp;amp;t=4m30s</t>
  </si>
  <si>
    <t xml:space="preserve"> https://www.youtube.com/watch?v=sQ6S7XzvFgw&amp;amp;t=1m46s</t>
  </si>
  <si>
    <t xml:space="preserve"> https://www.youtube.com/watch?v=x8TuG7Or5y8&amp;amp;t=2m28s</t>
  </si>
  <si>
    <t xml:space="preserve"> https://www.youtube.com/watch?v=iqpABS2UMRc&amp;amp;t=2m10s</t>
  </si>
  <si>
    <t xml:space="preserve"> https://www.youtube.com/watch?v=NPDS33uD5j4&amp;amp;t=6m54s</t>
  </si>
  <si>
    <t xml:space="preserve"> https://www.youtube.com/watch?v=fAdnFU3uVAE&amp;amp;t=3m35s</t>
  </si>
  <si>
    <t xml:space="preserve"> https://www.youtube.com/watch?v=fAdnFU3uVAE&amp;amp;t=2m26s</t>
  </si>
  <si>
    <t xml:space="preserve"> https://www.youtube.com/watch?v=BcZZOIdpISw&amp;amp;t=6m14s</t>
  </si>
  <si>
    <t xml:space="preserve"> https://www.youtube.com/watch?v=JqQAFodjYBk&amp;amp;t=7m37s</t>
  </si>
  <si>
    <t xml:space="preserve"> https://www.youtube.com/watch?v=sy6DtXbPzeM&amp;amp;t=8m07s</t>
  </si>
  <si>
    <t xml:space="preserve"> http://www.youtube.com/results?search_query=%233141</t>
  </si>
  <si>
    <t xml:space="preserve"> https://www.youtube.com/watch?v=x8TuG7Or5y8&amp;amp;t=2m23s</t>
  </si>
  <si>
    <t xml:space="preserve"> https://www.youtube.com/watch?v=q2yJEc5KWVA&amp;amp;t=3m25s</t>
  </si>
  <si>
    <t xml:space="preserve"> https://shareasale.com/r.cfm?b=2135808&amp;amp;u=3346221&amp;amp;m=130510&amp;amp;urllink=&amp;amp;afftrack= https://shareasale.com/r.cfm?b=2135808&amp;amp;u=3346221&amp;amp;m=130510&amp;amp;urllink=&amp;amp;afftrack= https://bit.ly/3RWvQO4 https://bit.ly/3RWvQO4</t>
  </si>
  <si>
    <t xml:space="preserve"> https://www.youtube.com/watch?v=9ZXrkcS1hB8&amp;amp;t=1m05s</t>
  </si>
  <si>
    <t xml:space="preserve"> https://www.youtube.com/watch?v=eQ0V8uvfB98&amp;amp;t=8m12s</t>
  </si>
  <si>
    <t xml:space="preserve"> https://www.youtube.com/watch?v=eQ0V8uvfB98&amp;amp;t=5m24s</t>
  </si>
  <si>
    <t xml:space="preserve"> https://www.youtube.com/watch?v=eTDz3aGc1TQ&amp;amp;t=3m55s</t>
  </si>
  <si>
    <t xml:space="preserve"> https://www.youtube.com/watch?v=L1dEFfar3WY&amp;amp;t=3m55s</t>
  </si>
  <si>
    <t xml:space="preserve"> https://www.youtube.com/watch?v=aslbdFLvxvg&amp;amp;t=2m44s https://www.youtube.com/watch?v=aslbdFLvxvg&amp;amp;t=3m43s https://www.youtube.com/watch?v=aslbdFLvxvg&amp;amp;t=4m04s</t>
  </si>
  <si>
    <t xml:space="preserve"> https://www.youtube.com/watch?v=edHXMHxVHj4&amp;amp;t=3m27s</t>
  </si>
  <si>
    <t xml:space="preserve"> https://www.youtube.com/watch?v=1W0PDmVgplg&amp;amp;t=00m27s</t>
  </si>
  <si>
    <t xml:space="preserve"> https://aiper.com/aiper-ces-2024/ https://aiper.com/aiper-ces-2024/</t>
  </si>
  <si>
    <t xml:space="preserve"> https://www.youtube.com/watch?v=sy6DtXbPzeM&amp;amp;t=18m00s</t>
  </si>
  <si>
    <t xml:space="preserve"> https://www.youtube.com/watch?v=sy6DtXbPzeM&amp;amp;t=5m00s</t>
  </si>
  <si>
    <t>youtube.com youtube.com</t>
  </si>
  <si>
    <t>youtube.com</t>
  </si>
  <si>
    <t>shareasale.com shareasale.com bit.ly bit.ly</t>
  </si>
  <si>
    <t>youtube.com youtube.com youtube.com</t>
  </si>
  <si>
    <t>aiper.com aiper.com</t>
  </si>
  <si>
    <t/>
  </si>
  <si>
    <t xml:space="preserve"> https://youtube.com/@LGitaliacs_Official https://youtube.com/@LGitaliacs_Official </t>
  </si>
  <si>
    <t xml:space="preserve">  https://youtube.com/@LGitaliacs_Official https://youtube.com/@LGitaliacs_Official</t>
  </si>
  <si>
    <t xml:space="preserve"> https://www.youtube.com/watch?v=PMW01KBO_R8&amp;amp;t=4m30s </t>
  </si>
  <si>
    <t xml:space="preserve"> https://www.youtube.com/watch?v=sQ6S7XzvFgw&amp;amp;t=1m46s </t>
  </si>
  <si>
    <t xml:space="preserve"> https://www.youtube.com/watch?v=x8TuG7Or5y8&amp;amp;t=2m28s </t>
  </si>
  <si>
    <t xml:space="preserve">  https://www.youtube.com/watch?v=eTDz3aGc1TQ&amp;amp;t=3m55s</t>
  </si>
  <si>
    <t xml:space="preserve">  https://www.youtube.com/watch?v=L1dEFfar3WY&amp;amp;t=3m55s</t>
  </si>
  <si>
    <t xml:space="preserve"> https://www.youtube.com/watch?v=iqpABS2UMRc&amp;amp;t=2m10s </t>
  </si>
  <si>
    <t xml:space="preserve"> https://www.youtube.com/watch?v=NPDS33uD5j4&amp;amp;t=6m54s </t>
  </si>
  <si>
    <t xml:space="preserve"> https://www.youtube.com/watch?v=fAdnFU3uVAE&amp;amp;t=3m35s </t>
  </si>
  <si>
    <t xml:space="preserve"> https://www.youtube.com/watch?v=fAdnFU3uVAE&amp;amp;t=2m26s </t>
  </si>
  <si>
    <t xml:space="preserve">  https://www.youtube.com/watch?v=fAdnFU3uVAE&amp;amp;t=3m35s</t>
  </si>
  <si>
    <t xml:space="preserve"> https://www.youtube.com/watch?v=BcZZOIdpISw&amp;amp;t=6m14s  https://www.youtube.com/watch?v=aslbdFLvxvg&amp;amp;t=2m44s https://www.youtube.com/watch?v=aslbdFLvxvg&amp;amp;t=3m43s https://www.youtube.com/watch?v=aslbdFLvxvg&amp;amp;t=4m04s</t>
  </si>
  <si>
    <t xml:space="preserve"> https://www.youtube.com/watch?v=JqQAFodjYBk&amp;amp;t=7m37s </t>
  </si>
  <si>
    <t xml:space="preserve">  https://www.youtube.com/watch?v=NPDS33uD5j4&amp;amp;t=6m54s</t>
  </si>
  <si>
    <t xml:space="preserve"> https://www.youtube.com/watch?v=sy6DtXbPzeM&amp;amp;t=8m07s </t>
  </si>
  <si>
    <t xml:space="preserve"> http://www.youtube.com/results?search_query=%233141  http://www.youtube.com/results?search_query=%233141</t>
  </si>
  <si>
    <t xml:space="preserve"> https://www.youtube.com/watch?v=sQ6S7XzvFgw&amp;amp;t=1m46s  https://www.youtube.com/watch?v=PMW01KBO_R8&amp;amp;t=4m30s</t>
  </si>
  <si>
    <t xml:space="preserve">  https://www.youtube.com/watch?v=PMW01KBO_R8&amp;amp;t=4m30s</t>
  </si>
  <si>
    <t xml:space="preserve"> https://www.youtube.com/watch?v=x8TuG7Or5y8&amp;amp;t=2m28s  https://www.youtube.com/watch?v=PMW01KBO_R8&amp;amp;t=4m30s</t>
  </si>
  <si>
    <t xml:space="preserve">  https://www.youtube.com/watch?v=edHXMHxVHj4&amp;amp;t=3m27s</t>
  </si>
  <si>
    <t xml:space="preserve"> https://www.youtube.com/watch?v=x8TuG7Or5y8&amp;amp;t=2m23s </t>
  </si>
  <si>
    <t xml:space="preserve"> https://www.youtube.com/watch?v=x8TuG7Or5y8&amp;amp;t=2m28s  https://www.youtube.com/watch?v=sQ6S7XzvFgw&amp;amp;t=1m46s</t>
  </si>
  <si>
    <t xml:space="preserve">  https://www.youtube.com/watch?v=x8TuG7Or5y8&amp;amp;t=2m23s</t>
  </si>
  <si>
    <t xml:space="preserve">  https://www.youtube.com/watch?v=1W0PDmVgplg&amp;amp;t=00m27s</t>
  </si>
  <si>
    <t xml:space="preserve"> https://www.youtube.com/watch?v=q2yJEc5KWVA&amp;amp;t=3m25s </t>
  </si>
  <si>
    <t xml:space="preserve"> https://shareasale.com/r.cfm?b=2135808&amp;amp;u=3346221&amp;amp;m=130510&amp;amp;urllink=&amp;amp;afftrack= https://shareasale.com/r.cfm?b=2135808&amp;amp;u=3346221&amp;amp;m=130510&amp;amp;urllink=&amp;amp;afftrack= https://bit.ly/3RWvQO4 https://bit.ly/3RWvQO4 </t>
  </si>
  <si>
    <t xml:space="preserve"> https://shareasale.com/r.cfm?b=2135808&amp;amp;u=3346221&amp;amp;m=130510&amp;amp;urllink=&amp;amp;afftrack= https://shareasale.com/r.cfm?b=2135808&amp;amp;u=3346221&amp;amp;m=130510&amp;amp;urllink=&amp;amp;afftrack= https://bit.ly/3RWvQO4 https://bit.ly/3RWvQO4  https://aiper.com/aiper-ces-2024/ https://aiper.com/aiper-ces-2024/</t>
  </si>
  <si>
    <t xml:space="preserve"> https://www.youtube.com/watch?v=9ZXrkcS1hB8&amp;amp;t=1m05s </t>
  </si>
  <si>
    <t xml:space="preserve"> https://www.youtube.com/watch?v=9ZXrkcS1hB8&amp;amp;t=1m05s  https://www.youtube.com/watch?v=sy6DtXbPzeM&amp;amp;t=18m00s</t>
  </si>
  <si>
    <t xml:space="preserve"> https://www.youtube.com/watch?v=eQ0V8uvfB98&amp;amp;t=8m12s  https://www.youtube.com/watch?v=sy6DtXbPzeM&amp;amp;t=5m00s</t>
  </si>
  <si>
    <t xml:space="preserve"> https://www.youtube.com/watch?v=eQ0V8uvfB98&amp;amp;t=5m24s </t>
  </si>
  <si>
    <t xml:space="preserve">youtube.com youtube.com </t>
  </si>
  <si>
    <t xml:space="preserve"> youtube.com youtube.com</t>
  </si>
  <si>
    <t xml:space="preserve">youtube.com </t>
  </si>
  <si>
    <t xml:space="preserve"> youtube.com</t>
  </si>
  <si>
    <t>youtube.com youtube.com youtube.com youtube.com</t>
  </si>
  <si>
    <t xml:space="preserve">shareasale.com shareasale.com bit.ly bit.ly </t>
  </si>
  <si>
    <t>shareasale.com shareasale.com bit.ly bit.ly aiper.com aiper.com</t>
  </si>
  <si>
    <t>-JbSg2UnK2k</t>
  </si>
  <si>
    <t>lHqBJZ6pvm0</t>
  </si>
  <si>
    <t>5KGnNiCe9bM</t>
  </si>
  <si>
    <t>C38ZX1BcGrE</t>
  </si>
  <si>
    <t>uqPALvUs0MU</t>
  </si>
  <si>
    <t>3Y0F1d8d4cM</t>
  </si>
  <si>
    <t>26AXRIC-nqQ</t>
  </si>
  <si>
    <t>tDQD5zv3cS4</t>
  </si>
  <si>
    <t>BjJ0udR7YrY</t>
  </si>
  <si>
    <t>D6bTuC-uekg</t>
  </si>
  <si>
    <t>03V-IgTVwXg</t>
  </si>
  <si>
    <t>OAh3y3j6qQE</t>
  </si>
  <si>
    <t>97gY63pYuGI</t>
  </si>
  <si>
    <t>H51AqAeP39Q</t>
  </si>
  <si>
    <t>DYBTTdmLqoY</t>
  </si>
  <si>
    <t>Title</t>
  </si>
  <si>
    <t>Description</t>
  </si>
  <si>
    <t>Tags</t>
  </si>
  <si>
    <t>Author</t>
  </si>
  <si>
    <t>Created Date (UTC)</t>
  </si>
  <si>
    <t>Views</t>
  </si>
  <si>
    <t>Comments</t>
  </si>
  <si>
    <t>Likes Count</t>
  </si>
  <si>
    <t>Dislikes Count</t>
  </si>
  <si>
    <t>Custom Menu Item Text</t>
  </si>
  <si>
    <t>Custom Menu Item Action</t>
  </si>
  <si>
    <t>PlayStation Presentation | Sony CES 2024 Press Conference</t>
  </si>
  <si>
    <t>Fast Samsung TV Tour at CES 2024 First Look!</t>
  </si>
  <si>
    <t>Wi-Fi 7 Will Change Everything</t>
  </si>
  <si>
    <t>Die neue (&amp; verrückte) Technik der CES 2024!</t>
  </si>
  <si>
    <t>Showstoppers CES 2024 - Sennheiser, Clicks, Melkmaschinen und weniger</t>
  </si>
  <si>
    <t>Razer CES 2024 - Laptops, haptische Gamingmatte, RGB &amp; mehr</t>
  </si>
  <si>
    <t>[Teaser] What's NEXT? Unveiling the future of displays at CES 2024!</t>
  </si>
  <si>
    <t>CES 2024: LG dévoile une télévision transparente, le Signature OLED T</t>
  </si>
  <si>
    <t>LG at CES 2024 : LG World Premiere - Live I LG</t>
  </si>
  <si>
    <t>Panasonic Z95A With Latest MLA Panel And Pentonic Chip? CES 2024</t>
  </si>
  <si>
    <t>LG Stuns with Transparent OLED TV | 2024 LG TV Lineup at CES</t>
  </si>
  <si>
    <t>The First True 480Hz OLED Gaming Monitor | Asus ROG at CES 2024</t>
  </si>
  <si>
    <t>Samsung 2024 Odyssey Monitors at CES | Next-Gen QD-OLED, Glasses-Free 3D, and More</t>
  </si>
  <si>
    <t>[CES 2024] What does TV mean to you? | Samsung</t>
  </si>
  <si>
    <t>CES 2024 Dispatch 1 !  Emerging Gadgets and Technologies</t>
  </si>
  <si>
    <t>CES 2024 - Hands On With Samsung's New Gaming Monitors</t>
  </si>
  <si>
    <t>CES 2024 ROG Live Event - Transcendence | ROG</t>
  </si>
  <si>
    <t>LG unveils ‘world’s first’ wireless transparent OLED TV at CES 2024</t>
  </si>
  <si>
    <t>CES 2024 Day 2: Interesting Tech from LG &amp; Pepcom!</t>
  </si>
  <si>
    <t>Kia PV5 Concept Revealed at CES 2024</t>
  </si>
  <si>
    <t>The Tech Gems of CES Unveiled at CES 2024!</t>
  </si>
  <si>
    <t>Pack With Me for CES 2024 _xD83E__xDD2F_</t>
  </si>
  <si>
    <t>is this $10,000 toilet the most ridiculous thing at CES 2024? #shorts</t>
  </si>
  <si>
    <t>Coolest Tech at CES 2024</t>
  </si>
  <si>
    <t>(반전주의) CES 2024에서 VR/AR 부스 돌아다녀 봤습니다. 근데 여기서도 한국 업체 위력이 장난 아니네요 ;; / 오목교 전자상가 in CES 2024</t>
  </si>
  <si>
    <t>LG's Alpha-able Future Car Concept Revealed</t>
  </si>
  <si>
    <t>LG가 만든 전기차?? 이게 풀옵션이지 ㅋㅋ</t>
  </si>
  <si>
    <t>CES 2024 Day 1: Insane New Tech from Samsung!</t>
  </si>
  <si>
    <t>AMD keynote at CES 2024 in 7 minutes</t>
  </si>
  <si>
    <t>Nvidia Announces RTX 40 Series Super GPUs At CES</t>
  </si>
  <si>
    <t>Advancing AI PCs in 2024 with AMD</t>
  </si>
  <si>
    <t>Nvidia's CES Gaming Event: Everything Revealed in 8 Minutes</t>
  </si>
  <si>
    <t>I Hate It When AMD Does This... (RX 7600 XT 16GB + New CPUs!)</t>
  </si>
  <si>
    <t>Sony's CES Event: Everything Revealed in 4 Minutes</t>
  </si>
  <si>
    <t>MSI Claw hands-on at CES 2024: An Intel-powered gaming handheld</t>
  </si>
  <si>
    <t>Best Gear From CES 2024: Pepcom Digital Experience!</t>
  </si>
  <si>
    <t>Best Laptops of CES 2024</t>
  </si>
  <si>
    <t>Top 3 Investments To Watch At CES 2024</t>
  </si>
  <si>
    <t>ROG's CES Reveal Event: Everything Announced in 11 Minutes</t>
  </si>
  <si>
    <t>Samsung's CES Product Event: Watch Everything Revealed in 6 Minutes</t>
  </si>
  <si>
    <t>LG's CES Product Event: Everything Revealed in 9 Minutes</t>
  </si>
  <si>
    <t>CES 2024: Consumer Electronics Show Highlighting Tech, Artificial Intelligence | VOANews</t>
  </si>
  <si>
    <t>I didn’t expect LG to go this hard at CES 2024</t>
  </si>
  <si>
    <t>Honda CES 2024 Event: Everything Revealed in 6 Minutes</t>
  </si>
  <si>
    <t>The Best Gear &amp; Gadgets From CES Unveiled 2024!</t>
  </si>
  <si>
    <t>CES 2024: Cooler Master - Cases, Watercooling, Heatsinks, Monitors and PSU's</t>
  </si>
  <si>
    <t>CES 2024 Preview: These Are The Key Themes For Investors To Watch | Alexis Garcia</t>
  </si>
  <si>
    <t>ALL ON for CES 2024: What to Expect</t>
  </si>
  <si>
    <t>Lenovo CES 2024: ThinkPads, Yogas, ThinkBooks, Magic Bay &amp; More</t>
  </si>
  <si>
    <t>CES 2024 ROG Event - Highlight</t>
  </si>
  <si>
    <t>CES 2024: Day 0 recap</t>
  </si>
  <si>
    <t>AMD Left Their Best Product at Home...</t>
  </si>
  <si>
    <t>CES 2024: Day 1 recap</t>
  </si>
  <si>
    <t>Sony CES 2024 keynote in 4 minutes</t>
  </si>
  <si>
    <t>The Matic robot vacuum at CES 2024 is definitely not crying over any spilled messes, milk included.</t>
  </si>
  <si>
    <t>CES 2024 - Hottest New Tech Products Unveiled</t>
  </si>
  <si>
    <t>TVs at CES 2024! OLED Evolution, Staggering Specs &amp; Massive Screens</t>
  </si>
  <si>
    <t>CES 2024: Corsair - Cases, coolers and pump tops !</t>
  </si>
  <si>
    <t>This Case is NUTS! | Thermaltake CES 2024</t>
  </si>
  <si>
    <t>WATCH: Hisense Product Reveal Event at CES 2024 - LIVE</t>
  </si>
  <si>
    <t>TCL’s 2024 TV Lineup Makes It a Fan Favorite | CES 2024</t>
  </si>
  <si>
    <t>XPENG eVTOL Flying Car at CES 2024</t>
  </si>
  <si>
    <t>Everything Samsung Unveiled at Its CES 2024 Event #shorts</t>
  </si>
  <si>
    <t>CES 2024: Insane Wearable Tech!</t>
  </si>
  <si>
    <t>Artificial intelligence and new technology featured at CES 2024 in Las Vegas</t>
  </si>
  <si>
    <t>The weirdest and best of CES 2024</t>
  </si>
  <si>
    <t>CES 2024 Preview: All-New Global Honda EV Series</t>
  </si>
  <si>
    <t>Best TVs of CES 2024</t>
  </si>
  <si>
    <t>7 Coolest Tech We Saw at CES 2024</t>
  </si>
  <si>
    <t>CES 2024 Day 1 - The Best Tech You NEED To SEE!</t>
  </si>
  <si>
    <t>Samsung is extending The Frame branding with the new Music Frame. #CES2024 #Technology</t>
  </si>
  <si>
    <t>This Little Laptop Has a SECRET | CES 2024</t>
  </si>
  <si>
    <t>I Saw the Future of Folding Phones at CES 2024</t>
  </si>
  <si>
    <t>CES 2024 - Tech Walkthrough - Follow us!!</t>
  </si>
  <si>
    <t>LG brought so much tech I've NEVER seen to CES 2024</t>
  </si>
  <si>
    <t>Most Innovative Tech from CES 2024 Showstoppers!</t>
  </si>
  <si>
    <t>CES 2024 Highlights: TOP Tech Trends, AI, "Coding is Dead"</t>
  </si>
  <si>
    <t>10 Best NEW Things for Gamers at CES 2024</t>
  </si>
  <si>
    <t>CES 2024 Day 2 - The BEST Innovative Tech this year!</t>
  </si>
  <si>
    <t>Samsung And Windows Finally Added This...? CES 2024 #Shorts</t>
  </si>
  <si>
    <t>Everything Announced at CES 2024 Pretty Much</t>
  </si>
  <si>
    <t>The DUMBEST New Tech Gadgets From CES 2024 - TechNewsDay</t>
  </si>
  <si>
    <t>Mario Party + Buckshot Roulette + CES 2024 Reactions</t>
  </si>
  <si>
    <t>NVIDIA Special Address at CES 2024</t>
  </si>
  <si>
    <t>Les 6 PROTOTYPES d'écran ENROULABLES et PLIANTS de Samsung</t>
  </si>
  <si>
    <t>Прозорий екран від Samsung _xD83D__xDD25_ Телевізор з ШІ і інші новинки CES 2024</t>
  </si>
  <si>
    <t>Siemens Keynote at CES 2024!</t>
  </si>
  <si>
    <t>Sua casa vai ser assim! Veja os eletrodomésticos com IA na CES 2024</t>
  </si>
  <si>
    <t>CES 2024: Fordítógép, headsetek, bicikli, napelem, esport - első nap</t>
  </si>
  <si>
    <t>Manželka vs Samsung a Harman? AI budoucnost vozidel [CES 2024]</t>
  </si>
  <si>
    <t>CES 2024: SAMSUNG MUSIC FRAME #Shorts</t>
  </si>
  <si>
    <t>NVIDIA en el CES 2024 en vivo</t>
  </si>
  <si>
    <t>Conferência Sony na CES 2024 com tradução simultânea PT-BR AO VIVO!</t>
  </si>
  <si>
    <t>CES 2024 - Next Gen Laptops Are Here &amp; They Look Amazing!</t>
  </si>
  <si>
    <t>Can You BELIEVE These Products Exist? CES 2024's WEIRDEST Products! #shorts</t>
  </si>
  <si>
    <t>Govee Smart Lighting at CES 2024 #shorts</t>
  </si>
  <si>
    <t>Sennheiser Announces New Premium Earbuds &amp; Headphones At CES 2024!</t>
  </si>
  <si>
    <t>Sony CES 2024 Presentation Announced, PS5 Exclusive Release Update, Horizon MMO With NCsoft</t>
  </si>
  <si>
    <t>Check out the PlayStation section of the Sony CES 2024 Press Conference.</t>
  </si>
  <si>
    <t>Best Samsung TVs at CES 2024 _xD83D__xDC4D_Thanks @DrexLee for teaching me Epic 1 Shot _xD83D__xDC4D_Whokeys New Year Sale 25% off Code: SF20 
Windows10($16) https://biitt.ly/Fh4WJ
Windows11($21) https://biitt.ly/wvPFz
Windows10 Home ($13.7) https://biitt.ly/Tm4ad
Office2019 ($45) https://biitt.ly/NO6cw
Office2021 ($57) https://biitt.ly/nG2sb
   Official https://whokeys.com
===  
_xD83D__xDED2_ Recommended TV Deals
----
Sony A80L https://howl.me/ckSBwgIc5Rv
Samsung S90C https://howl.me/ck3dWTOgnQs
Sony X90L https://howl.me/ckSBvJnWzxS
Sony A75L https://howl.me/ckSBvh3WVLl
Samsung QN90C https://howl.me/ck3dXxoDm5A
Hisense 100" U8K https://howl.me/cjxT72kPuDu
Hisense U7K https://howl.me/ckSByeqFkv9
TCL Q7 https://howl.me/ckSBy47yz37
TCL QM8 https://howl.me/ckSByGFU9zL
========= Commission on My Affiliate Links: 
#commissionsearned  #sponsored
As an Amazon Associate and affiliate of the retailers linked above (Best Buy, Crutchfield, Samsung, WhoKeys), I earn from qualifying purchases when you click on my links in this channel. Also, all of my other merchant links in this video description, linked pages and community and comment section are affiliate links to different merchants (including but not limited to Best Buy, Crutchfield, Samsung, etc.) which means at no extra charge to you, I will make a small commission if you click on them and make a qualifying purchase. Thanks for your support!
Explore Samsung in 8 minutes! CES 2024
High Speed Samsung TV Tour at CES 2024 First Look
---
ces 2024,ces2024,samsung first look,samsung s95d,samsung s90d,samsung s85d,samsung qdoled,2024 samsung tvs,2024 samsung qd-oled,2024 samsung s95d,samsung microled,galaxy s24,samsung s24 ultra,samsung s23 ultra first look,consumer tech,artificial intelligence,samsung electronics,ces 2024 samsung tv,ces 2024 smart home,ces 2024 monitors,ces 2024 tv,ces 2024 cnet,best samsung tvs 2024,ces 2024 preview,ces 2024 live,ces 2024 samsung</t>
  </si>
  <si>
    <t>Thanks to Seasonic for sponsoring our CES 2024 coverage! To learn more about why we love their power supplies, check them out at https://lmg.gg/seasonicfocuspsu
► GET MERCH: https://lttstore.com
► GET EXCLUSIVE CONTENT ON FLOATPLANE: https://lmg.gg/lttfloatplane
► LISTEN TO THE TECH NEWS: https://lmg.gg/TechLinkedPodcast
► SPONSORS, AFFILIATES, AND PARTNERS: https://lmg.gg/partners
► OUR PODCAST GEAR: https://lmg.gg/podcastgear
NEWS SOURCES: https://lmg.gg/WqrrY
---------------------------------------------------
Timestamps:
0:00 Did someone say "CES"?
0:10 Wi-Fi 7 standard is a-go
1:29 New AMD &amp; Nvidia GPUs
2:51 Ryzen 8000G &amp; 5700X3D?
3:59 Seasonic
4:29 QUICK BITS INTRO
4:39 Vision Pro release date
5:22 LG's transparent OLED TV
5:57 Apple pays for class-action
6:33 BMW split-screen gaming
6:56 AI-powered grill
FOLLOW US ELSEWHERE
---------------------------------------------------  
Twitter: http://twitter.com/TechLinkedYT
Instagram: http://instagram.com/TechLinkedYT
Facebook: http://facebook.com/TechLinked
TikTok: https://www.tiktok.com/@techlinkedyt</t>
  </si>
  <si>
    <t>Ich war auf der CES 2024 in Las Vegas und habe viel künstliche Intelligenz gesehen!
Danke an Withings für die Einladung:
https://bit.ly/withKilian
Meine Webseite!
https://kram.store
Instagram: https://www.instagram.com/iknow.mp4
Twitter:  https://twitter.com/iKnowReview
TikTok: https://www.tiktok.com/@iknow.mp4
Mein elektrischer Schreibtisch*: https://www.ergotopia.de/?utm_medium=10
iKnowReview Hülle*: https://rhinoshield.de/collections/artist-iknowreview?aff=6
Meist die Hintergrundmusik:
http://bit.ly/1aCoXeI
Oft aber auch:*
https://www.epidemicsound.com/referral/0m1dtg/
*Affiliate Links unterstützen meinen Kanal - der Einkauf kostet für dich genau gleich viel :)</t>
  </si>
  <si>
    <t>Showstoppers CES 2024 - Sennheiser, Clicks, Melkmaschinen und weniger
Auch dieses Jahr gab es wieder eine ShowStoppers Veranstaltung auf der CES. Einen Tag nach der Pepcom hielt hauptsächlich Sennheiser die Fahne der größeren, bekannten Unternehmen hoch, gefolgt von dem neuen Start-Up Clicks rund um Michael Fisher. Und man traf auf einen alten Bekannten. Aber seht selbst. 
Kaffeekasse:
Paypal: https://paypal.me/technikfaultier
Patreon: https://www.patreon.com/technikfaultier
BTC: 37iaM7mxRjgPy27BLaRadDgBPHSWGi51YX
Technikfaultier Blog: http://technikfaultier.com
Technikfaultier auf Twitter: http://twitter.com/technikfaultier
Technikfaultier Facebook: http://www.facebook.com/Technikfaultier
Technikfaultier auf Instagram: http://instagram.com/technikfaultier
Technikfaultier auf TokTok: http://tiktok.com/technikfaultiertiktok
Die mit * gekennzeichneten Links sind sogenannte Affiliate Links. Kommt über einen solchen Link ein Einkauf zustande, werde ich mit einer Provision beteiligt. Für Dich entstehen dabei keine Mehrkosten. Wo, wann und wie Du ein Produkt kaufst, bleibt natürlich Dir überlassen.</t>
  </si>
  <si>
    <t>Razer CES 2024 - Laptops, haptische Gamingmatte, RGB &amp; mehr
Auf der CES haben wir uns mal den Razer Stand angeschaut. Dort haben wir eine kleine Standtour bekommen und es wurden Neuheiten von Razer gezeigt. Es gibt neue Stühle, Laptops, viel Blinki Blinki und interessante Projekte an denen sie gerade arbeiten, wie zum Beispiel eine Sitzmatte mit haptischen Feedback.
Kaffeekasse:
Paypal: https://paypal.me/technikfaultier
Patreon: https://www.patreon.com/technikfaultier
BTC: 37iaM7mxRjgPy27BLaRadDgBPHSWGi51YX
Technikfaultier Blog: http://technikfaultier.com
Technikfaultier auf Twitter: http://twitter.com/technikfaultier
Technikfaultier Facebook: http://www.facebook.com/Technikfaultier
Technikfaultier auf Instagram: http://instagram.com/technikfaultier
Technikfaultier auf TokTok: http://tiktok.com/technikfaultiertiktok
Die mit * gekennzeichneten Links sind sogenannte Affiliate Links. Kommt über einen solchen Link ein Einkauf zustande, werde ich mit einer Provision beteiligt. Für Dich entstehen dabei keine Mehrkosten. Wo, wann und wie Du ein Produkt kaufst, bleibt natürlich Dir überlassen.</t>
  </si>
  <si>
    <t>The world's largest IT and tech event, CES 2024!
LG Display unveils groundbreaking display technologies that will change our lives!
 _xD83D__xDD38_Automotive display solution optimized for SDVs (Software Defined Vehicles)!
Showcasing optimal solutions for future mobility with P-OLED, ATO(Advanced Thin OLED), 
LTPS(Low-Temperature Polysilicon) LCD, SPM(Switchable Privacy Mode), Slidable OLED and etc
 _xD83D__xDD38_Gaming OLED boasting ultra-high refresh rate for the first time in OLED history!
‘Gaming OLED full lineup’ of 27-, 31.5-, 39-, 45-inch offers the fastest response time, 
perfect image quality with META Technology, and minimized reflections!
 _xD83D__xDD38_MLA and META Booster enhancing brightness by 60% compared to the predecessor through ‘the new evolution of META Technology’!
"What is next?"
 LG Display’s newest innovations unveiling at CES 2024 in Las Vegas!
Check out LG Display’s official YouTube channel and its Newsroom!
★Want more news on LG Display at CES 2024?
(Click!) CES 2024 - LG Display Newsroom (https://news.lgdisplay.com/en/tag/ces-2024-2/)
 #LGDisplay #LGD #CES2024 #CES #LASVEGAS #OLED
#Innovation #DisplayTechnology #AutomotiveDisplay #SDV #GamingDisplay #GamingOLED
#480Hz #METATECHNOLOGY #MLA #METABooster</t>
  </si>
  <si>
    <t>Lors du CES 2024, LG Electronics a présenté l'impressionnant LG Signature OLED T, un téléviseur transparent et sans fil doté d'un écran de 77 pouces. Son prix reste encore inconnu.</t>
  </si>
  <si>
    <t>We warmly invite you to experience the LG World Premiere press conference at CES 2024.
Themed ‘Reinvent your future,’ the press conference is set to begin at 08:00AM(PST) on January 8th. 
Explore firsthand how our latest innovations are driving us towards a brighter future in areas including the AI, home, commercial, and mobility!
Learn more : https://www.LG.com/CES2024
 #ReinventYourFuture #LGCES2024 #LG #LGElectronics #CES2024 #LifesGood #LGWorldPremiere #LGPressConference</t>
  </si>
  <si>
    <t>We interview Dirk Schulze from Panasonic about the new flagship Z95A and Z93A OLED TVs due to be launched later this year. With a new HCX AI Chipset (which we believe is based on the latest Pentonic chip), a new MLA META panel with Panasonic's proprietary heat sink design and Fire TV OS, is this the OLED we have all been waiting for?
What are your views on the new Z95A and Z93A? Tell us in the comments.
AVForums coverage of CES 2024 is made possible thanks to our sponsor MPB, the largest global platform to buy, sell and trade used photo and video gear. Visit https://www.mpb.com/en-uk?utm_source=av+forums&amp;utm_medium=website&amp;utm_campaign=mar:uk%7Ccam:change%7Csc:spon
Follow all of our CES coverage at https://www.avforums.com/tag/ces/
_xD83C__xDF10_ Visit us at https://www.avforums.com
_xD83C__xDF10_ About us: https://www.avforums.com/pages/about-us/
_xD83C__xDF10_ Contact us: https://www.avforums.com/pages/contact/
_xD83C__xDF10_ Contributor biographies: https://www.avforums.com/writers/
Follow us!
_xD83C__xDF10_ Twitter - https://twitter.com/avforums
_xD83C__xDF10_ Facebook - https://www.facebook.com/avforums/
_xD83C__xDF10_ Instagram - https://www.instagram.com/avforums 
_xD83C__xDFB5_ Music - Licensed by Epidemic Sound
#panasonic #oled #mla</t>
  </si>
  <si>
    <t>LG surprised with the new Signature OLED T transparent TV at CES 2024. We've seen transparent displays at LG Display's booth before but this is the first time that it's an official TV product and will be something that you can probably buy in 2024. We also dig into the G4, M4, C4 OLED Series and a few QNED models as well. 
MORE CES 2024 VIDEOS
Samsung TVs at CES 2024: https://www.youtube.com/watch?v=ahg_-Qeely0
https://www.youtube.com/playlist?list=PLZEIwIHCxaFV5XKidH2XCcuhMypMnNQ3j
READ MORE
The LG Signature OLED T is official: https://www.digitaltrends.com/home-theater/lg-signature-oled-t-ces-2024/
LG’s 2024 OLED M4 takes AI processing to new heights: https://www.digitaltrends.com/home-theater/lg-oled-wireless-ces-2024/
LG’s 2024 QNED TV lineup leans in to AI across the board: https://www.digitaltrends.com/home-theater/lg-qned-2024-lineup/
CES 2024 Coverage: https://www.digitaltrends.com/topic/ces/
VIDEO CHAPTERS
00:00 Intro
00:31 LG G4 OLED
01:52 LG M4 Wireless OLED
02:38 LG C4 OLED
03:15 LG QNED Series
03:42 LG Signature OLED T Transparent TV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#ces2024 #lg #lgoled #lgoledtv #transparenttv #digitaltrends #tech #technology #hometheater #tvs #oled</t>
  </si>
  <si>
    <t>Asus had way more products at CES 2024 than we were expecting, including a 480Hz OLED gaming monitor, a completely redesigned Zephyrus G14, and so much more. Here's everything we know about Asus ROG coming this year. 
MORE CES 2024 VIDEOS
New Alienware QD-OLED Monitors, Laptop Updates: https://www.youtube.com/watch?v=0r3vtIitvMw
Samsung 2024 Odyssey Monitors at CES: https://www.youtube.com/watch?v=PMW01KBO_R8
More CES coverage: https://www.youtube.com/playlist?list=PLZEIwIHCxaFV5XKidH2XCcuhMypMnNQ3j
READ MORE
This surprise 480Hz QHD OLED gaming monitor just won CES: https://www.digitaltrends.com/computing/asus-480hz-oled-gaming-monitor-won-ces/
I saw the second generation of Samsung’s QD-OLED gaming monitors: https://www.digitaltrends.com/computing/samsung-odyssey-oled-ces-2024-hands-on/
VIDEO CHAPTERS
00:00 Intro
00:19 ROG Zephyrus G14
01:33 ROG Zephyrus G16
01:47 New Gaming Monitors
02:25 Asus 27-inch PG27AQDP 480Hz OLED
02:45 Asus 39-inch PG39WCDM OLED
02:57 Asus 32-inch PG32UCDP 4K OLED
03:55 BTF Standard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#ces2024 #digitaltrends #tech #technology #oled #gaming #pcgamer #pcgaming @asusrog #asus #asusrog #gamingmonitor</t>
  </si>
  <si>
    <t>We got an early look at Samsung's 2024 Odyssey monitor lineup at CES this year, including the new Odyssey OLED G8 (G80SD), Odyssey OLED G6 (G60SD), and the interesting Samsung 2D/3D gaming monitor concept. Here's what we learned after spending a couple of hours with the new gaming displays. 
MORE CES 2024 VIDEOS
New Alienware QD-OLED Monitors, Laptop Updates: https://www.youtube.com/watch?v=0r3vtIitvMw
More CES coverage: https://www.youtube.com/playlist?list=PLZEIwIHCxaFV5XKidH2XCcuhMypMnNQ3j
READ MORE
I saw the second generation of Samsung’s QD-OLED gaming monitors: https://www.digitaltrends.com/computing/samsung-odyssey-oled-ces-2024-hands-on/
VIDEO CHAPTERS
00:00 Intro
00:42 Odyssey OLED G8 &amp; G6
05:48 2D/3D Gaming Monitor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#ces2024 #samsung #gaming #gamingmonitor #qdoled #computing #technews #technology #digitaltrends #tech #samsungodyssey</t>
  </si>
  <si>
    <t>Our TVs mean a lot to us. They can be a stylish statement, a gaming companion, even an entertainment hub for the whole family. 
This year, we have designed our TVs to enrich your life further. Stay tuned for our biggest upgrade yet — coming soon at CES 2024. 
Discover more at http://www.samsung.com
#NeoQLED8K #AIUpscalesLife #CES2024 #Samsung</t>
  </si>
  <si>
    <t>CES 2024 coverage sponsored by SK : https://lon.tv/sk - We are here at #ces2024 !! The show starts tomorrow but last night there was a great preview event with some new and emerging technologies. Lots more to come in the days ahead! See more CES 2024 here: https://www.youtube.com/watch?v=ajlFs92JZ0A&amp;list=PLCZHp4d1HnIuCFDd4aiWj_vZ1wmrYBIym and subscribe! http://lon.tv/s
VIDEO INDEX - all product links are compensated affiliate links:
00:00 - Intro
00:52 - Ecoflow Delta Pro House Battery  - https://lon.tv/hpolb
01:31 - Frugal Repair Interview - https://lon.tv/frugalrepair 
02:46 - Kibodo Rhyzome Lite Keyboard
03:32 - Serafim S3 Controller
04:45 - SlimDesign Phone Cam
05:49 - Nya Create
06:40 - Hestia Smartphone Telescope
07:55 - Skyted Silent Mask
08:46 - Photonfi : infrared Wifi alternative
10:43 - Laplok
12:24 - Mirai Soundbar - https://lon.tv/moqkw
12:59 - Belkin Chargers
13:40 - Belkin GAN USB-C Dock
14:28 - GE Profile Combo Washer / Dryer - https://lon.tv/vgl7f
16:14 - Withings Beamo Healthscan
17:35 - Revolution Cooking Macrowave
18:48 - Revolution Smart Toaster - https://lon.tv/8e79x
19:08 - Conclusion
Visit my Blog! https://blog.lon.tv
Subscribe to my email lists! 
Weekly Breakdown of Posted Videos:  - https://lon.tv/email
Daily Email From My Blog Posts! https://lon.tv/digest
See my second channel for supplementary content : http://lon.tv/extras
Follow me on Amazon too! http://lon.tv/amazonshop
Join the Facebook group to connect with me and other viewers! 
http://lon.tv/facebookgroup
Visit the Lon.TV store to purchase some of my previously reviewed items! http://lon.tv/store
Read more about my transparency and disclaimers: http://lon.tv/disclosures
Want to chat with other fans of the channel? Visit our Facebook Group! http://lon.tv/facebookgroup, our Discord: http://lon.tv/discord and our Telegram channel at http://lon.tv/telegram !
Want to help the channel? Start a Member subscription or give a one time tip!
http://lon.tv/support
or contribute via Venmo!
lon@lon.tv
Follow me on Facebook!
http://facebook.com/lonreviewstech
Follow me on Twitter!
http://twitter.com/lonseidman
Catch my longer interviews and wrap-ups in audio form on my podcast!
http://lon.tv/itunes
http://lon.tv/stitcher
or the feed at http://lon.tv/podcast/feed.xml
We are a participant in the Amazon Services LLC Associates Program, an affiliate advertising program designed to provide a means for us to earn fees by linking to Amazon.com and affiliated sites.</t>
  </si>
  <si>
    <t>Hands on with Samsung's new gaming monitors at CES 2024!
* We were having some issues with our wireless mics...
More CES 2024 Content: https://www.youtube.com/playlist?list=PLR2SUrflQUcjI75NUlTTI5UAY_z6Lk8n8
Support us by shopping on Amazon: https://thinkcomputers.org/amazon
Our Merch: https://thinkcomputers.org/merch
CONNECT WITH US!
Facebook: http://www.facebook.com/ThinkComputers
Twitter: http://twitter.com/thinkcomps
Instagram: https://www.instagram.com/thinkcomputers/
Discord: https://discord.gg/qWMYBWz
TikTok: https://www.tiktok.com/@thinkcomputers
Twitch: https://www.twitch.tv/thinkcomputers
Our Website: https://thinkcomputers.org/
Review requests &amp; more: inquiries@thinkcomputers.org
#ces2024 #samsung #OLED #thinkcomputers #gamingmonitors</t>
  </si>
  <si>
    <t>We're launching our new lineup for 2024! Save the date!
Watch the livestream for a chance to win an ROG Ally.
Learn how to enter here: https://rog.gg/CES2024.yt
Follow us to get the latest info:
https://rog.gg/ROGInstagram
https://rog.gg/ROGTwitter
https://rog.gg/ROGTikTok
https://rog.gg/ROGFacebook
#ROG #CES2024ROG #CES2024</t>
  </si>
  <si>
    <t>LG says its new Signature OLED T is the world’s first wireless transparent OLED TV. Content displayed on the transparent screen appears as if to float in air. #lg #ces #ces2024 
AP video: James Brooks, Carrie Antlfinger
Subscribe for more Breaking News: http://smarturl.it/AssociatedPress 
Website: https://apnews.com 
Twitter: https://twitter.com/AP 
Facebook: https://facebook.com/APNews 
Instagram: https://www.instagram.com/APNews/
​
This video may be available for archive licensing via https://newsroom.ap.org/home</t>
  </si>
  <si>
    <t>CES is underway in Las Vegas, and while it's been overshadowed by Apple's Vision Pro launch date announcement, there are still plenty of interesting new products to look at. This video features products like LG's NEW Signature OLED T Transparent TV, a facial recognition smart lock with Apple HomeKey support, a smokeless smoker from GE and so much more!
Connect with Dan:
_xD835__xDD4F_: https://twitter.com/danbarbera
Instagram: https://www.instagram.com/danbarbera1
TikTok: https://www.tiktok.com/@macrumors
00:00 Intro
00:13 LG Signature OLED T (Transparent TV)
01:13 Lockly Facial Recognition Lock
01:47 OWC ThunderBlade X8
02:08 Ember Self Heating Baby Bottle
02:35 Aqara Smart Lever Lock
03:07 Scosche MagSafe Modular System
03:30 Scosche MagSafe Water Bottle
04:04 Otterbox Cactus Leather
04:15 Orbi WiFi 7 Mesh
04:32 GE Smokeless Smoker</t>
  </si>
  <si>
    <t>Carmaker Kia reveals an all-new concept, the PV5 for the electrified future. Check out the big reveal right here.
Never miss a deal again! See CNET’s browser extension _xD83D__xDC49_ https://bit.ly/39Ub3bv
Subscribe to our channel: www.youtube.com/channel/UCmKtn_HvpfbTu3QV4lhJIMw</t>
  </si>
  <si>
    <t>It's a first look at the hidden gems of CES 2024 at CES Unveiled! Everything is smart, from a bird box, to a smart cooker,, a robot pet companion, binoculars and even an instant ice cream maker from Cold Snap!
Thanks for watching! You can support my independent content at https://www.patreon.com/briantong THANK YOU!
LET'S BE FRIENDS!
http://twitter.com/briantong​​​​
http://instagram.com/nostratongus​​​​
https://www.facebook.com/BrianTongTech
#ces #ces2024 #technology</t>
  </si>
  <si>
    <t>need new thermal paste? check out YeesterPaste and all my thermal paste accessories! www.yeesterpaste.com
music by: Lonely Bunker
https://www.youtube.com/lonelybunker</t>
  </si>
  <si>
    <t>CES 2024에서 VR/AR 관련 부스는 여전히 사람들의 큰 관심을 받고 있습니다. 특히 애플 비전 프로가 코앞으로 다가 온 상황에서 다른 기업들 역시 관련 기술을 알리는 데 열심 이었는데요, ‘니모 플래닛’ 같은 미국의  스타트업 뿐 아니라 일본의 ‘샤프’처럼 이름만 들어도 알 수 있는 기업에서조차 관련 기기를 전시하고 보여주고 있었습니다 . 그런데 이 두 업체 사이에는 아주 기묘한 공통점이 하나 있었습니다. 바로 두 업체가 모두 한국의 스타트업 ‘레티널(LetinAR)’이란 곳의 렌즈를 사용하고 있다는 것이었습니다. 아니 대체 이 ‘레티널’이란 회사의 정체가 뭘까요? 영상을 통해 정답을 확인해보세요!
0:00 인트로
0:11 AR VR 전시장에 왔습니다!
0:50 엑스리얼 제품 둘러보기
01:54 VR보단 AR이 대세...?
02:24 애플 비전 프로 아니에요?
04:26 니모 플래닛 제품 둘러보기
05:35 안경 같은 AR 제품
06:08 한국 기업이 여기서 왜 나와...?
07:00 레티널 제품 둘러보기
09:18 AR VR 이야기 및 마무리</t>
  </si>
  <si>
    <t>David Katzmaier gets a first look at LG's Alpha-able Future Mobility Concept on the show floor at CES 2024.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</si>
  <si>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 입구부터 기세 확실히 잡는 LG전자의 CES 2024 전시관을 싹 보고 왔습니다.
여기는 77”짜리 투명 OLED를 무선으로 쏘질 않나, 레이저 4K를 레트로한 디자인에 넣은 씨네빔 큐브가 있질 않나, 투명 OLED 뒤에 진공관을 넣지를 않나 멋진 제품이 너무 많아요.
물론 두 바퀴 달린 다리로 걸어… 아니 굴러다니는 AI 로봇인 프로젝트명 Q9도 귀여움…
근데 나는 스팀 다리미를 넣어 버린 스타일러랑 텀블러 씻는 기계 마이컵이 제일 맘에 들었다고 하면 이상하겠지?
00:00 - 인트로
00:11 - 인사
00:23 - 시그니처 올레드 T 미디어아트
01:07 - 인스타뷰 냉장고, 마이뷰, 그램, 및 스탠마이미 고
01:59 - 엑스붐, 에어로퍼니처, 및 시그니처 올레드 T
02:38 - 전기차 충전기 및 알파블
04:05 - 듀오보,시네빔 큐브, 및 본보야지
06:52 - 듀크
07:49 - 접근성 및 지속가능성
08:22 - 스타일러, 마이컵, 슈케이스, 및 상업 솔루션
10:44 - 알파 11 4K AI 칩셋 및 올레드 터널
11:19 - 프로젝트 Q9
12:46 - 아웃트로
-페이스북 http://facebook.com/underkg
-인스타그램 http://instagram.com/underkgshow</t>
  </si>
  <si>
    <t>Samsung had its First Look event to showcase its brand new products for 2024 which includes a glare free OLED TV, a transparent display, along with a brand new 2D/3D gaming monitor. 
CES Unveiled also took place showcasing some interesting products like a tangle free Narwal robot vacuum, a Keurig style machine for ice cream, and the world's first product from Belkin that utilizes Apple's DockKit.
Connect with Dan:
_xD835__xDD4F_: https://twitter.com/danbarbera
Instagram: https://www.instagram.com/danbarbera1
TikTok: https://www.tiktok.com/@macrumors</t>
  </si>
  <si>
    <t>AMD brings AI to Ryzen 8000G desktop chips at CES 2024 and it claims its new Ryzen 8040 mobile chips can beat Intel's Meteor Lake.
#ces2024 #amd  #AI
Subscribe: https://www.youtube.com/c/Engadget 
Like us on Facebook: http://www.facebook.com/engadget
Follow us on Twitter: http://www.twitter.com/engadget
Follow us on Instagram: http://www.instagram.com/engadget
Follow us on TikTok: https://www.tiktok.com/@engadget 
The Engadget Podcast: https://itunes.apple.com/us/podcast/the-engadget-podcast/id1142790530?mt=2
More about Engadget Audio: https://www.engadget.com/podcasts/
Read more: http://www.engadget.com</t>
  </si>
  <si>
    <t>At CES 2024 Nvidia announced the RTX 40 Series Super variants, and in this video Brad and Keith break down all of the details surrounding these GPUs.
*This video is sponsored by SilverStone. The innovative IceMyst all-in-one cooler allows you to stack RGB fans on the water block, which easily allows direct airflow to any hot spots on your motherboard, VRM or DRAM. Pick up the IceMyst AIO today and equip your PC with this unique high-performance cooler: https://www.silverstonetek.com/en/product/info/coolers/im280_argb/
Buy PCWorld merch: https://crowdmade.com/collections/pcworld
Follow PCWorld for all things PC!
------------------------------­----
SUBSCRIBE: https://www.youtube.com/pcworld?sub_confirmation=1
TWITTER: https://www.twitter.com/pcworld
WEBSITE:  http://www.pcworld.com
#nvidia #gpu #ces2024 
00:00 - Intro
00:17 - Ad
00:37 - RTX Super Series
01:14 - RTX 4070 Super
02:06 - RTX 4070 Ti Super
03:32 - RTX 4080 Super
04:56 - Should you be angry?</t>
  </si>
  <si>
    <t>Join Dr. Lisa Su, AMD Chair and CEO, and Jack Huynh, Senior Vice President and GM of computing and graphics, as they talk about the future of AI in personal computers; new and exciting laptop and desktop product announcements for consumers; and hear from industry-leading partners on our collective voyage to shape the future of PC technology. 
Discover more: AMD at CES® 2024 https://www.amd.com/en/corporate/events/ces.html
00:00 – Welcome &amp; Introduction (Dr Lisa Su, AMD Chair and CEO)
02:25 – New Product Announcements (Jack Huynh, SVP &amp; GM, Computing &amp; Graphics Group)
03:13 – HP Partnership (Alex Cho, President, Personal Systems)
05:12 – AMD Ryzen 8040 Series Features
05:43 – Lenovo Partnership (Luca Rossi, EVP &amp; President, Intelligent Devices Group)
07:55 – Gaming Partnerships
08:40 – Asus Partnership (S.Y. Hsu, co-CEO)
10:30 – AMD Ryzen 8000G Series
11:29 – CD PROJEKT RED Partnership (Jan Rosner and Charles Tremblay)
13:04 – AMD Radeon RX 7600 XT
13:46 – Ryzen AI Software and ROCm
14:44 – Hugging Face Partnership (Clement Delangue, CEO)
16:46 – Adobe Partnership (Ivo Manolov, VP, Digital Video &amp; Audio)
19:08 – Microsoft Partnership (Pavan Davuluri, CVP, Windows and Devices)
21:37 – Conclusion
***
Subscribe: https://bit.ly/Subscribe_to_AMD 
Join the AMD Red Team Community: https://www.amd.com/en/gaming/community 
Join the AMD Red Team Discord Server: https://discord.gg/amd-red-team
Like us on Facebook: https://bit.ly/AMD_on_Facebook
Follow us on Twitter: https://bit.ly/AMD_On_Twitter 
Follow us on Twitch: https://Twitch.tv/AMD 
Follow us on LinkedIn: https://bit.ly/AMD_on_Linkedin 
Follow us on Instagram: https://bit.ly/AMD_on_Instagram
©2024 Advanced Micro Devices, Inc. AMD, the AMD Arrow Logo, and combinations thereof are trademarks of Advanced Micro Devices, Inc. in the United States and other jurisdictions. Other names are for informational purposes only and may be trademarks of their respective owners.</t>
  </si>
  <si>
    <t>At CES 2024, Nvidia targets gamers with its new RTC 4080 Super Series GPU. Plus, new game trailers with RTX turned on, such as Diablo and Half Life: RavenHolm.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</si>
  <si>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I Hate It When AMD Does This - New AM4/AM5 CPUs and a Radeon RX 7600 XT 16GB GPU
▷ MY STORE - shirts, pint glasses &amp; hoodies: http://paulshardware.net
AMD announced a new Radeon RX 7600 XT 16GB GPU at CES 2024, as well as new AM4 CPUs -- the 5700X3D, 5700, 5600GT and 5500GT, as well as AM5 APUs, the poorly named Ryzen 8700G, 8600G, and 8500G. Here's a quick summary recap of the announcements. 
Many Thanks to my Sponsors for CES 2024!
Cooler Master - https://www.coolermaster.com/
ASUS - https://www.asus.com/
Gigabyte - https://www.gigabyte.com/
Kioxia - https://www.kioxia.com/
► TIMESTAMPS
0:00 Intro - AMD at CES 2024
0:38 Radeon RX 7600 XT 16GB GPU is $329, launches Jan 24
6:20 AMD Ryzen AM5 APUs - Ryzen 8700G, 8600G, and 8500G
11:03 AMD Ryzen AM4 CPUs - Ryzen 5700X3D, 5700, 5600GT and 5500GT
Please note that links above may be affiliate links -- clicking them earns me a small commission if you make a purchase and helps support my YouTube channel. Thank you!
▷ MY STORE - shirts, pint glasses &amp; hoodies: http://paulshardware.net
▷ SOCIAL
Twitter: @paulhardware
http://www.twitter.com/paulhardware
Facebook:
https://www.facebook.com/pages/Pauls-Hardware/195425877329550
Instagram:
http://instagram.com/paulhardware
:::Send Me Stuff:::
Paul's Hardware
P.O. Box 4325
Diamond Bar, CA 91765
► Edited by Joe Aguilar - ShaostylePostProductions
https://twitter.com/joe_editing
Audio file(s) provided by Epidemic Sound
http://www.epidemicsound.com/</t>
  </si>
  <si>
    <t>At CES 2024, Sony shows off a concept mixed reality headset and discusses its partnerships with Honda and Microsoft on an all-new AI enabled electric car.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</si>
  <si>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Between the ASUS ROG Ally, the Lenovo Legion Go and the Steam Deck, AMD has a virtual monopoly over the chips powering high-end gaming handhelds. But for the Claw, MSI is partnering up with Intel to bring a little more balance to the portable PC performance wars.
Read more: https://www.engadget.com/the-intel-powered-msi-claw-is-challenging-amds-handheld-gaming-monopoly-ces-2024-171643042.html
#ces2024 #msi #handheldpc 
Subscribe: https://www.youtube.com/c/Engadget 
Like us on Facebook: http://www.facebook.com/engadget
Follow us on Twitter: http://www.twitter.com/engadget
Follow us on Instagram: http://www.instagram.com/engadget
Follow us on TikTok: https://www.tiktok.com/@engadget 
The Engadget Podcast: https://itunes.apple.com/us/podcast/the-engadget-podcast/id1142790530?mt=2
More about Engadget Audio: https://www.engadget.com/podcasts/
Read more: http://www.engadget.com</t>
  </si>
  <si>
    <t>Ahead of CES 2024 is the Pepcom Digital Experience where many of the top brands are showing off their new devices for the year. Here were some of my favorites from storage solutions, to Qi2 MagSafe-compatible chargers, &amp; smart home solutions.
Thank you to Alogic for sponsoring our CES 2024 coverage!
Learn more about Matrix Ultimate MagSafe 3-in-1 charger &amp; battery pack:
https://alogic.co/products/matrix-ultimate-3-in-1-wireless-charger-with-5-000mah-magsafe-power-bank
Chapters ➡
0:00 Intro
0:07 Alogic Matrix Ultimate
0:37 Lockly Matter &amp; Home Key lock
1:21 OWC Thunderblade X8
2:17 Roborock S8 Max vacuums
3:21 Aqara Matter &amp; Apple Home
4:47 Meater 2 Plus thermostat
5:23 Abode Long-range Wi-Fi camera
5:56 Mophie Qi2
6:50 Ecovacs
7:28 ESR
7:54 Scosche Qi2 chargers
8:54 Anker Qi2 chargers
Shop AppleInsider merch ➡ https://cottonbureau.com/people/appleinsider
Grab the LOWEST prices on Apple gear! _xD83D__xDC47_
Macs - https://prices.appleinsider.com/current-gen
iPads - https://prices.appleinsider.com/ipad
Apple Watches - https://prices.appleinsider.com/apple-watch
AirPods - https://prices.appleinsider.com/apple-airpods
AppleInsider may earn commission on purchases made through affiliate links and may receive products for the purpose of review.
Ethics policy: https://appleinsider.com/help/ethics/
Follow our social channels! _xD83D__xDC47_
Twitter - https://twitter.com/appleinsider/
Facebook - https://www.facebook.com/AppleInsiderdotcom/
Instagram - https://www.instagram.com/appleinsider/
Download our iOS app - https://itunes.apple.com/us/app/appleinsider/id578462575
New here? AppleInsider has been around since the 1997 covering anything, and everything Apple. This YouTube channel will give you the best coverage for anything Apple related. New MacBooks? We'll cover them! New iPhones? We got you covered on that as well. Want to get the most out of your new Apple product? We've got videos to help you with that. Make sure to subscribe, comment, and share our videos!
For all the breaking Apple tech news you'll ever need, visit https://appleinsider.com!</t>
  </si>
  <si>
    <t>These are the models to look forward to in 2024 and beyond. This year's themes include 14-inch laptops with AMD's Ryzen 9 8945HS and Intel's 14th Gen HX series on many gaming models.
Read more on CNET: https://www.cnet.com/tech/computing/best-laptops-of-ces-2024/
HP Spectre x360 review: https://www.cnet.com/tech/computing/hp-spectre-x360-14-2024-review-meteor-lake-arrives-in-style/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</si>
  <si>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Welcome to the Bleeding Edge. Each week Colin Tedards will share his thoughts, opinions and research where technology intersects with investing. 
Today we talk about the top 3 sectors I'll be watching at this years 2024 Consumer Electronic Show CES Conference in Las Vegas Nevada. 
Three Must Own AI Stocks: https://www.brownstoneresearch.com/bleeding-edge/three-must-own-ai-stocks/
— MY NEWSLETTER: https://www.brownstoneresearch.com
— Follow Me On Twitter: https://twitter.com/investorvideos
— Follow Me On Instagram: https://www.instagram.com/investorvideos/
— Connect With Me On LinkedIN https://www.linkedin.com/in/colin-tedards-0aa8a615/</t>
  </si>
  <si>
    <t>At CES 2024, ROG unveils its gaming monitors, laptops and phone lineup for the year ahead.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</si>
  <si>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At CES 2024, the consumer electronics giant unveils additions to its home appliances line, introduces a robotic house helper named Ballie and shares info about its new Galaxy Books with built-in AI.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</si>
  <si>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At CES 2024, LG shows off its product lineup for the new year, including the impressive OLED Transparent TV, and the company's vision for the car of the future.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</si>
  <si>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The Consumer Electronics Show, better known as CES, is back in Las Vegas [January 9 – 12] with more than 3,500 companies from around the globe showcasing the latest developments in artificial intelligence, health care, transportation and much more. VOA’s Julie Taboh gives us a preview. Video edit: Adam Greenbaum. Tina Trinh contributed to this report.
» Subscribe to VOA News: https://bit.ly/3KIPysi 
» Watch more VOA News video: https://www.youtube.com/voanews 
Voice of America (VOA) is the largest U.S. international broadcaster, providing news and information in more than 40 languages to an estimated weekly audience of 236.8 million people. VOA produces content for digital, television, and radio platforms. It is easily accessed via your mobile phone and on social media. It is also distributed by satellite, cable, FM and MW, and is carried on a network of approximately 3,000 affiliate stations. 
Since its creation in 1942, Voice of America has been committed to providing comprehensive coverage of the news and telling audiences the truth. Through World War II, the Cold War, the fight against global terrorism, and the struggle for freedom around the globe today, VOA exemplifies the principles of a free press. 
Connect with VOA News: 
» VISIT OUR WEBSITE: https://www.voanews.com 
» LIKE OUR FACEBOOK PAGE: https://www.facebook.com/voanews 
» FOLLOW US ON INSTAGRAM: https://www.instagram.com/voanews 
» FOLLOW US ON TWITTER: https://twitter.com/VOANews 
» FOLLOW US ON THREADS: https://www.threads.net/@voanews</t>
  </si>
  <si>
    <t>LG has a pretty amazing setup here at #CES2024 With massive 77 inch transparent LG Signature OLED T TV's and a brand new Mobility concept Vehicle called the LG Alphable. I'm a big fan of the futuristic stance and the decked out internals full of LG OLED Displays and appliances. LG can invite me out to their booth anytime! Learn more here: https://www.lg.com/CES2024
Check out Judners (UrAvgConsumer) video HERE: https://youtu.be/ti7x9nmCmsk?si=nujYrBsp01Nde4Ii</t>
  </si>
  <si>
    <t>At CES 2024, Honda revealed its concept Honda Zero line of EVs, including the Saloon and the Space Hub. Honda says a production model of the Saloon is coming in 2026.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</si>
  <si>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I'm at CES 2024 to break down the best new products shown off so far including Thunderbolt 5 docks, smart neon lights, auto-tracking docks, Qi2 MagSafe chargers, &amp; much more!
Chapters ➡
0:00 Intro
0:04 DreameBot X30 Ultra smart vacuum
1:04 ExoBrew home beer brewer
2:03 Withings BeamO Home Checkup
3:07 Govee Smart Lights
4:04 Ugreen NAS
4:54 Mui Board Gen 2 Matter Controller
5:50 J5create Thunderbolt 5 dock
6:30 Xgimi Imax 4K projector
7:10 Targus Ergo Flip Mouse
7:45 Hyper Magsafe, Qi2, &amp; Thunderbolt 5
9:28 Invoxia Minitailz smart collar
10:27 Belkin Qi2 &amp; DockKit Auto Tracking Stand
Shop AppleInsider merch ➡ https://cottonbureau.com/people/appleinsider
Grab the LOWEST prices on Apple gear! _xD83D__xDC47_
Macs - https://prices.appleinsider.com/current-gen
iPads - https://prices.appleinsider.com/ipad
Apple Watches - https://prices.appleinsider.com/apple-watch
AirPods - https://prices.appleinsider.com/apple-airpods
AppleInsider may earn commission on purchases made through affiliate links and may receive products for the purpose of review.
Ethics policy: https://appleinsider.com/help/ethics/
Follow our social channels! _xD83D__xDC47_
Twitter - https://twitter.com/appleinsider/
Facebook - https://www.facebook.com/AppleInsiderdotcom/
Instagram - https://www.instagram.com/appleinsider/
Download our iOS app - https://itunes.apple.com/us/app/appleinsider/id578462575
New here? AppleInsider has been around since the 1997 covering anything, and everything Apple. This YouTube channel will give you the best coverage for anything Apple related. New MacBooks? We'll cover them! New iPhones? We got you covered on that as well. Want to get the most out of your new Apple product? We've got videos to help you with that. Make sure to subscribe, comment, and share our videos!
For all the breaking Apple tech news you'll ever need, visit https://appleinsider.com!</t>
  </si>
  <si>
    <t>Leo continues our coverage today of CES 2024 in Las Vegas with a trip to the Cooler Master showroom. They had quite a lot of hardware on show this year. Let us know if you like the new products in the comments below.
00:00 Some mods
00:24 MasterLoop Demo System
00:51 Watercooling hardware
01:49 Chassis
03:31 M.2 SSD Coolers
03:51 Power Supplies
04:39 Monitors
05:05 Flight Sim/Racing setups
CES® is a registered trademark of the Consumer Technology Association.
Be sure to check out all the latest CES news and content over at our main website www.kitguru.net and subscribe to KitguruTech on youtube as we will be releasing videos every day from the event.</t>
  </si>
  <si>
    <t>Gary Shapiro of the Consumer Technology Association discusses key themes and innovations for investors to watch ahead of this year’s CES conference in Las Vegas.
SUBSCRIBE ► https://bit.ly/3x9SKsm
Visit our website ► investors.com
Follow me on Twitter ► https://twitter.com/IBD_Alexis
Questions, comments, suggestions? Drop them in the comment box below. Thanks for watching!
#AlexisGarcia #IBD #InvestorsBusinessDaily</t>
  </si>
  <si>
    <t>As we count down the days to CES, we’re preparing for a phenomenal show. With exhibits, events and programming that will span more than 2.5 million square feet from the Las Vegas Convention Center to ARIA, the Venetian Expo, Mandalay Bay and beyond, we’ll welcome 4000 exhibitors in 40-plus product categories.  The greatest minds. 
The most powerful brands. The most impactful technology. In this episode of CES Tech Talk, hear all about it from CTA’s Gary Shapiro, president and CEO; Kinsey Fabrizio, SVP for CES and Membership; and John T. Kelley, VP and CES Show Director: They discuss topics including: 
The tech defining AI, transportation, startups, smart cities, digital health and solutions for a better, more sustainable planet. 
Must-see places and spaces at CES 2024 including Eureka Park, where breakthrough technologies are showcased, and C Space with the C Space Studio for a look into the future of advertising, entertainment and more.  
Who’s coming to CES 2024, with an anticipated 130,000 in attendance and 1200-plus startups at Eureka Park. Find out what else is brewing as excitement builds for the most powerful tech event in the world.</t>
  </si>
  <si>
    <t>Lenovo CES 2024
#lenovo #ces2024 
Subscribe to my new channel: https://bit.ly/3r4SuXC
Check out the latest book I am reading:
Surrender: 40 Songs, One Story: https://amzn.to/3UR755Z
Come join my Discord: https://discord.gg/DAxVfaF
Become a member: https://www.youtube.com/channel/UCqh8w-GY6v0vgwIn_iWt87A/join
Get 10% off Epidemic Sound: https://share.epidemicsound.com/trummt</t>
  </si>
  <si>
    <t>Here's everything you need to know about the new 2024 ROG lineup!
Learn more_xD83D__xDC49_https://rog.gg/CES2024.yt
00:00 ROG BTF Ecosystem
01:17 ROG Gaming Monitors &amp; Monitor Accessories
02:24 ROG NUC
02:50 ROG Gaming Periperials 
04:10 ROG Gaming Laptops
06:24 ROG Phone 
07:24 ROG Headphones
Join the Republic:
https://rog.gg/ROGInstagram
https://rog.gg/ROGTwitter
https://rog.gg/ROGTikTok
https://rog.gg/ROGFacebook
#ROG #CES2024 #CES2024ROG</t>
  </si>
  <si>
    <t>CES starts on January 9th, but the tech news is already coming in. Companies including LG, Nvidia, and Dell have already made big announcements and revealed some promising technology.
#ces2024 #technology #ces 
Subscribe: https://www.youtube.com/c/Engadget 
Like us on Facebook: http://www.facebook.com/engadget
Follow us on Twitter: http://www.twitter.com/engadget
Follow us on Instagram: http://www.instagram.com/engadget
Follow us on TikTok: https://www.tiktok.com/@engadget 
The Engadget Podcast: https://itunes.apple.com/us/podcast/the-engadget-podcast/id1142790530?mt=2
More about Engadget Audio: https://www.engadget.com/podcasts/
Read more: http://www.engadget.com</t>
  </si>
  <si>
    <t>Check out Wicked Cushions at Amazon: https://lmg.gg/WickedCushionsAmazon
or their website: https://wickedcushions.com/LTT
AMD is announcing some very cool chips at CES 2024, including the 5700X3D from AM-fricken-4, and a new line of 8000-series processors. Oh, and don't forget about the new GPUs like the 7600XT!
Discuss on the forum: https://linustechtips.com/topic/1552151-amd-booth-at-ces-2024/
► GET MERCH: https://lttstore.com
► GET EXCLUSIVE CONTENT ON FLOATPLANE: https://lmg.gg/lttfloatplane
► SPONSORS, AFFILIATES, AND PARTNERS: https://lmg.gg/partners
► EQUIPMENT WE USE TO FILM LTT: https://lmg.gg/LTTEquipment
► OUR WAN PODCAST GEAR: https://lmg.gg/wanset
FOLLOW US 
---------------------------------------------------  
Twitter: https://twitter.com/linustech
Facebook: http://www.facebook.com/LinusTech
Instagram: https://www.instagram.com/linustech
TikTok: https://www.tiktok.com/@linustech
Twitch: https://www.twitch.tv/linustech
MUSIC CREDIT
---------------------------------------------------
Intro: Laszlo - Supernova
Video Link: https://www.youtube.com/watch?v=PKfxmFU3lWY
iTunes Download Link: https://itunes.apple.com/us/album/supernova/id936805712
Artist Link: https://soundcloud.com/laszlomusic
Outro: Approaching Nirvana - Sugar High
Video Link: https://www.youtube.com/watch?v=ngsGBSCDwcI
Listen on Spotify: http://spoti.fi/UxWkUw
Artist Link: http://www.youtube.com/approachingnirvana
Intro animation by MBarek Abdelwassaa https://www.instagram.com/mbarek_abdel/
Monitor And Keyboard by vadimmihalkevich / CC BY 4.0  https://geni.us/PgGWp
Mechanical RGB Keyboard by BigBrotherECE / CC BY 4.0 https://geni.us/mj6pHk4
Mouse Gamer free Model By Oscar Creativo / CC BY 4.0 https://geni.us/Ps3XfE
CHAPTERS
---------------------------------------------------
0:00 Intro
1:17 R7 8700G
2:30 R5 8600G
2:47 R5 8500G
3:30 R3 8300G
3:55 RX 7600XT
5:32 outro</t>
  </si>
  <si>
    <t>The first official day of CES 2024 has come! From home robots to electric vehicles to AI, laptops and processors, there was news from all areas of tech. There were pleasant surprises like Samsung’s cute new Ballie robot ball and Sony’s spatial content creation headset, and intriguing concepts like Razer’s vibrating cushion for gamers. We also heard about new processors from AMD, Intel and NVIDIA as well as the subsequent flood of laptops carrying the just-announced chips for 2024.
#ces2024 
Subscribe: https://www.youtube.com/c/Engadget 
Like us on Facebook: http://www.facebook.com/engadget
Follow us on Twitter: http://www.twitter.com/engadget
Follow us on Instagram: http://www.instagram.com/engadget
Follow us on TikTok: https://www.tiktok.com/@engadget 
The Engadget Podcast: https://itunes.apple.com/us/podcast/the-engadget-podcast/id1142790530?mt=2
More about Engadget Audio: https://www.engadget.com/podcasts/
Read more: http://www.engadget.com</t>
  </si>
  <si>
    <t>Sony just wrapped up its press conference at CES 2024 where it teased a spatial VR headset. The spotlight, however, was on Sony’s Afeela car, gearing up for its debut in Gran Turismo 7. And Izumi Kawanishi, Afeela’s president and COO, driving the car on stage with a PlayStation controller? Here’s everything you missed.
0:00 PlayStation spatial headset
0:45 Sony Afeela
Subscribe: http://goo.gl/G5RXGs
Like The Verge on Facebook: https://goo.gl/2P1aGc
Follow on Twitter: https://goo.gl/XTWX61
Follow on Instagram: https://goo.gl/7ZeLvX
Follow on TikTok: http://bit.ly/42VeCVU
The Vergecast Podcast: https://pod.link/430333725
Decoder with Nilay Patel: http://apple.co/3v29nDc 
More about our podcasts: https://www.theverge.com/podcasts
Read More: http://www.theverge.com
Community guidelines: http://bit.ly/2D0hlAv
Wallpapers from The Verge: https://bit.ly/2xQXYJr
Subscribe to The Vergecast on YouTube, new episodes on Wednesday and Friday: https://bit.ly/3I6nJtz</t>
  </si>
  <si>
    <t>This autonomous robot vacuum at CES 2024 is definitely not crying over any spilled messes, milk included. It’s called Matic and it's designed by former Google engineers. But what’s even better is that Matic won’t bump into you or your furniture as it’s processing its surroundings visually instead of spatially. Is that enough to make you pay $1,800 though?#CES2024 #Technology 
Subscribe: http://goo.gl/G5RXGs
Like The Verge on Facebook: https://goo.gl/2P1aGc
Follow on Twitter: https://goo.gl/XTWX61
Follow on Instagram: https://goo.gl/7ZeLvX
Follow on TikTok: http://bit.ly/42VeCVU
The Vergecast Podcast: https://pod.link/430333725
Decoder with Nilay Patel: http://apple.co/3v29nDc 
More about our podcasts: https://www.theverge.com/podcasts
Read More: http://www.theverge.com
Community guidelines: http://bit.ly/2D0hlAv
Wallpapers from The Verge: https://bit.ly/2xQXYJr
Subscribe to The Vergecast on YouTube, new episodes on Wednesday and Friday: https://bit.ly/3I6nJtz</t>
  </si>
  <si>
    <t>Welcome to the Bleeding Edge. Each week Colin Tedards will share his thoughts, opinions and research where technology intersects with investing. 
Today Colin is at #ces2024 Media preview day showing some of the coolest gadgets and products on display. 
Three Must Own AI Stocks: https://www.brownstoneresearch.com/bleeding-edge/three-must-own-ai-stocks/
— MY NEWSLETTER: https://www.brownstoneresearch.com
— Follow Me On Twitter: https://twitter.com/investorvideos
— Follow Me On Instagram: https://www.instagram.com/investorvideos/
— Connect With Me On LinkedIN https://www.linkedin.com/in/colin-tedards-0aa8a615/</t>
  </si>
  <si>
    <t>CES is usually a big show for TVs, but CES 2024 will be the biggest TV year yet, with massive screen sizes we've never seen before, brightness specs that just a couple of years ago seemed like a moonshot, and some delightful, if not revolutionary, new features coming to OLED TVs. Mark my words: 2024 will make or break some TV businesses, and could see a huge shift among brands. 
Remember to subscribe to get all the latest news from CES 2024. 
MORE CES 2024 VIDEOS
https://www.youtube.com/playlist?list=PLZEIwIHCxaFV5XKidH2XCcuhMypMnNQ3j
CES 2024 COVERAGE
https://www.digitaltrends.com/topic/ces/
VIDEO CHAPTERS
00:00 Intro
00:33 CES Dates to Remember
01:57 What We Will NOT See
03:20 OLED Expectations at CES
04:52 LCD, LED, Mini-LED and Micro-LED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#ces2024 #digitaltrends #samsung #samsungtv #lg #lgoled #lgtv #qdoled #tcl #tcltv #roku #rokutv #sony #sonytv #vizio #hisense #samsungdisplay #lgdisplay</t>
  </si>
  <si>
    <t>Leo had a little walk around the room that Corsair hired out to show some new products such as the 2500X and 6500X cases, due for release very shortly.
00:00 Capture cards
00:52 2500X Case - Project Z
01:37 A115 Air Cooler
02:05 iCue Link RX120 RGB
02:49 6500X Case and Pump Tops
CES® is a registered trademark of the Consumer Technology Association.
Be sure to check out all the latest CES news and content over at our main website www.kitguru.net and subscribe to KitguruTech on youtube as we will be releasing videos every day from the event.
#corsair #6500x #2500x #ces2024</t>
  </si>
  <si>
    <t>It's CES time and we kick things off with a few videos from Thermaltake. In this first video we take a look at 2 new cases that are launching soon.
Tower 300 MSRP - $149.99
CTE E600 MSRP - $179.99
►My Camera Gear 
Sony A7S III -  https://amzn.to/3LIrbvT
Sigma 24-70mm f/2.8 DG DN - https://amzn.to/3CeCLMc
Sony Alpha ZV-E1 - https://amzn.to/41iHE1F
Sigma 24-70mm f/2.8 DG DN - https://amzn.to/3CeCLMc
Manfrotto MK290XT - https://amzn.to/2HQAoiW​ 
Manfrotto MVH502AH Pro Video Head - https://amzn.to/2JyX4dr​ 
DJI RS 2 Combo - https://amzn.to/3RADb6Z
Edelkrone SliderOne V2 - https://amzn.to/3d1pVUm
Edelkrone HeadPlus - https://amzn.to/3gU2Uny
Edelkron JibONE - https://amzn.to/3iZYga5
Rode NT3 - https://amzn.to/2MpniNi​ Rode Lavalier - https://amzn.to/2LMq7a2​ 
Rode Rodelink Newsshooter - https://amzn.to/2sVXRuu​ 
MindShift Gear FirstLight 30L - https://amzn.to/2JEzdsA​
Follow us - 
Facebook - https://facebook.com/ggflanparty/
Instagram - https://www.instagram.com/ggfevents/
Builds.gg - https://builds.gg/users/stuart_ggf-5​
#TT #THERMALTAKE #ces2024</t>
  </si>
  <si>
    <t>Tune in at 9:00am PT / 12:00pm ET on Mon. Jan 8. when TV maker Hisense shows off its product lineup for 2024 at CES.
Never miss a deal again! See CNET’s browser extension _xD83D__xDC49_ https://bit.ly/39Ub3bv
Subscribe to our channel: www.youtube.com/channel/UCmKtn_HvpfbTu3QV4lhJIMw</t>
  </si>
  <si>
    <t>TCL not only came to CES with a huge lineup of TVs, it is also throwing some shade at the competition, claiming it will only use mini-LED when it means real brightness and performance improvements. Check out the entire lineup to see which new TCL might be best for you, even if it isn’t the 115-inch monster mini-LED.
Make sure to check out our first look at the TCL 115-inch QM89: https://www.youtube.com/watch?v=LCXXK9UQ3IA
MORE CES 2024 VIDEOS
Humongous 110-Inch UX Headlines Hisense 2024 TV Lineup: https://www.youtube.com/watch?v=9UpWlFkUCb0
Samsung’s 3,000-Nit QD-OLED Hides a Secret Weapon: https://www.youtube.com/watch?v=Tn7yBUku0WY
LG’s 3,000-Nit MLA OLED Already in TVs? https://www.youtube.com/watch?v=1uI5q-U-eEQ
Samsung TVs at CES 2024: https://www.youtube.com/watch?v=ahg_-Qeely0
LG Stuns with Transparent OLED TV: https://www.youtube.com/watch?v=tcHGpw7KKE4
CES 2024 playlist: https://www.youtube.com/playlist?list=PLZEIwIHCxaFV5XKidH2XCcuhMypMnNQ3j
READ MORE
TCL’s giant 115-inch QM89 is the world’s largest 4K mini-LED TV: https://www.digitaltrends.com/home-theater/tcl-largest-mini-led-tv-qm89-ces-2024-4k-tvs/
Want to feel inferior? Stand in front of a 115-inch television: https://www.digitaltrends.com/home-theater/hands-on-115-inch-tcl-qm89/
TCL goes all-in on Dolby Atmos with its first 7.1.4-channel soundbar: https://www.digitaltrends.com/home-theater/tcl-q-class-s-class-soundbars/
Hisense shows off massively bright 98- and 100-inch TVs: https://www.digitaltrends.com/home-theater/hisense-ces-2024-98ux-u76n-100-inch-mini-led-tv/
Could LG’s 3000-nit OLED finally end the brightness wars?: https://www.digitaltrends.com/home-theater/lg-meta-2-mla-oled-displays-3000-nits-ces-2024/
The LG Signature OLED T is official: https://www.digitaltrends.com/home-theater/lg-signature-oled-t-ces-2024/
VIDEO CHAPTERS
00:00 Intro
01:18 TCL S Class
02:31 TCL Q6
03:17 TCL QM7
05:40 TCL QM8
06:57 TCL Q5 &amp; Q7 Soundbars
09:56 TCL QM891G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#tcl #hometheater #ces2024 #hometheater #news #tvs #technology #tech #digitaltrends #tcltv #tcl_news @TCLTVs</t>
  </si>
  <si>
    <t>https://www.aeroht.com/
My 2 favorite things, drones and EVs have now come together at CES 2024. The Xpeng Aeroht is going to be this years show stopper with their eVTOL flying car on display at the show.
-----------------------------------------------------
_xD83C__xDFF7_️ CURRENT DISCOUNTS:
Free 30 Day Trial of Epidemic Sound: https://geni.us/zDBuW
FlytCase by FlytPath (limited stock): https://www.flytpath.com/shop
Enhance your YouTube channel: https://www.tubebuddy.com/aldryn
GoProfessionalCases site wide discount (Use code 'flytpath' for a discount): https://geni.us/KL1KI
-----------------------------------------------------
_xD83D__xDCF7_ MY CORE VIDEO GEAR USED:
Sony A7SIII: https://geni.us/zu0h
Sony Digital Mic ECM-B1M: https://geni.us/46piYNr
Tamron 17-28 2.8: https://geni.us/Kip2tfN
Sony A7iii camera: https://geni.us/SAeE2
Tamron 28-75 2.8: https://amzn.to/2KwleRq
Travel Tripod I use: https://geni.us/LMoY
Wireless Mic: https://geni.us/P5w97B
Rode VideoMic NTG Studio Mic: https://geni.us/oWiw
SanDisk 128GB Extreme microSD: https://geni.us/KUIBqS
Main Studio light: https://amzn.to/43se355
Studio fill lights: https://amzn.to/46NtqrM
Pgytech Mantis Tripod: https://geni.us/uiRvV1
Portable handheld light: https://amzn.to/2XQE6WT
-----------------------------------------------------
_xD83D__xDC55_ FLYTPATH MERCHANDISE
https://teespring.com/stores/flytpath
-----------------------------------------------------
_xD83D__xDED2_  MORE GEAR I'VE REVIEWED
https://www.amazon.com/shop/flytpath
-----------------------------------------------------
_xD83D__xDD17_ STAY CONNECTED
https://www.flytpath.com
https://www.instagram.com/aldryn/
https://twitter.com/ace
https://www.facebook.com/theflytpath
-----------------------------------------------------
_xD83D__xDC4D_ If you found value in my video, please don't forget to give it a big thumbs up. If you have any questions, feel free to comment below. Thanks for watching and please don't forget to subscribe to be notified on new videos.
-----------------------------------------------------
_xD83D__xDCE7_ MAIL TIME:
PO Box 502651
San Diego, CA 92150
-----------------------------------------------------
FlytPath is a participant in the Amazon Services LLC Associates Program, an affiliate advertising program designed to provide a means for sites to earn advertising fees by advertising and linking to amazon.com.
-----------------------------------------------------
#xpeng #evtol #ces2024</t>
  </si>
  <si>
    <t>At CES 2024, the consumer electronics giant unveils additions to its home appliances line, introduces a robotic house helper named Ballie and shares info about its new Galaxy Books with built-in AI.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
#ces2024 #samsung #ces</t>
  </si>
  <si>
    <t>I tried the dopest hands-on experiences at CES 2024!
_xD83D__xDD25_  //  Wallpapers
https://www.buymeacoffee.com/joshuachangyt/extras
—
https://www.instagram.com/joshuachang/</t>
  </si>
  <si>
    <t>Artificial intelligence technology is front and center at the Consumer Electronics Show in Las Vegas this year. Bridget Carey, a senior editor for CNET, joins CBS News with a look at some of the products featured at the international trade show. 
CBS News Streaming Network is the premier 24/7 anchored streaming news service from CBS News and Stations, available free to everyone with access to the Internet. The CBS News Streaming Network is your destination for breaking news, live events and original reporting locally, nationally and around the globe. Launched in November 2014 as CBSN, the CBS News Streaming Network is available live in 91 countries and on 30 digital platforms and apps, as well as on CBSNews.com and Paramount+.
Subscribe to the CBS News YouTube channel: https://youtube.com/cbsnews
Watch CBS News: https://cbsn.ws/1PlLpZ7c
Download the CBS News app: https://cbsn.ws/1Xb1WC8
Follow CBS News on Instagram: https://www.instagram.com/cbsnews/
Like CBS News on Facebook: https://facebook.com/cbsnews
Follow CBS News on Twitter: https://twitter.com/cbsnews
Subscribe to our newsletters: https://cbsn.ws/1RqHw7T
Try Paramount+ free: https://bit.ly/2OiW1kZ
For video licensing inquiries, contact: licensing@veritone.com</t>
  </si>
  <si>
    <t>Help Desk's Chris Velazco travels each year to Las Vegas to see the most ambitious, often odd, and sometimes great ideas tech startups and tech giants put on display for the first time. Read more: https://wapo.st/3NXyX7d. Subscribe to The Washington Post on YouTube: https://wapo.st/2QOdcqK
Follow us:
Twitter: https://twitter.com/washingtonpost
Instagram: https://www.instagram.com/washingtonpost/
Facebook: https://www.facebook.com/washingtonpost/</t>
  </si>
  <si>
    <t>Stay tuned for the world debut of an all-new global Honda electric vehicle series at CES on January 9, 2024.
Toward its global goal to achieve carbon neutrality for all products and corporate activities by 2050, Honda has a vision to make battery-electric and fuel cell electric vehicles represent 100% of its zero-emission automobile sales by 2040.</t>
  </si>
  <si>
    <t>CNET's David Katzmaier runs through his favorite TVs of CES, from transparent tech from Samsung and LG to huge TVs from TCL and Hisense. Check them all out right here.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</si>
  <si>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Check out the 7 coolest tech products we saw at CES 2024! If you're a tech lover, you won't want to miss this video!
Subscribe to @cybernewsfor more upcoming videos from CES 2024.
_xD83C__xDFAA_ Looking for entertainment and interesting stories? Check out our playlists filled with captivating content that will keep you entertained for hours:
https://www.youtube.com/playlist?list=PLa8oKYy_2UcNWMp91QuENBVLtv2HimUUB
https://www.youtube.com/playlist?list=PLa8oKYy_2UcMmqPRg4X95LTWO9HxFQR35
https://www.youtube.com/playlist?list=PLa8oKYy_2UcNqsnRRwfWT3raZOG4Ey44I
_xD83E__xDD77_ Want to keep your online activities private and secure? 
Our top picks for the best VPNs can help - check out our in-depth reviews and start browsing with peace of mind today: https://www.youtube.com/playlist?list=PLa8oKYy_2UcMX3e69tgYfPtEfPWunjjKE
_xD83D__xDCAC_ Stay connected with us on social media for the latest news, insights, and discussions around cybersecurity: https://linktr.ee/Cybernews
//Timestamps//
0:00 - Intro
0:31 - Afeela (Sony Honda Mobility)
1:43 - Brelyon Ultra Reality
2:44 - Samsung Transparent MicroLED &amp; Neo QLED 8K
3:35 - Genesis Systems WaterCube
4:07 - LG Innotek
4:47 - Nimo Planet World's first Spatial Computer
5:40 - Xreal Air 2 pro &amp; Air 2 Ultra
ℹ️ About us 
We are a news outlet with a YouTube channel that posts cybersecurity &amp; tech news videos daily. Our foremost concern is the safety and security of our viewers around the world. We remain vigilant on the issue of hacking and will provide updates as they become available. A number of our investigations and reports have been featured by industry-related publications and global news leaders like Forbes, PC mag, and Techradar.
#cybernews</t>
  </si>
  <si>
    <t>Check out Aiper's new Scube S1 and S1 Pro with some impressive new features on their website here: https://aiper.com/aiper-ces-2024/
@aiperofficial 
#Aiper  #Bringvacationhome  #Aiperscuba  #AiperscubaS1 #AiperscubaS1pro  #AiperCEScape #AIPERINNOVATES
If you enjoyed this video, please subscribe to help us reach 2 million subscribers! We would greatly appreciate it! 
Timestamps ⬇️
CES 2024 Day 1 - 00:00
#1 - 00:09
#2 - 00:41
#3 - 01:13
#4 - 02:18
#5 - 04:01
#6 - 04:49
#7 - 05:59
#8 - 06:49
Xcode Benchmark built for Max Tech by Maxim Eremenko ➡ https://github.com/devMEremenko/XcodeBenchmark
Buy one of our NEW T-Shirts to help support us! ➡ https://max-tech-store.creator-spring.com/
~~~~~~~~~~~~~~~~~~~~~~~~~~~~~~~~~~~
Shop on Amazon ➡ https://geni.us/wB2mWqd
Shop on B&amp;H ➡ https://bhpho.to/2kfoI34
Shop on Adorama ➡ https://bit.ly/2R7qezq 
10% off unlimited yearly music licensing on Soundstripe (what I use for all my videos) use coupon code "Max" here: http://soundstripe.grsm.io/e/6lv
Shot with (Amazon) ➡ https://geni.us/XE0r
Lens (B&amp;H) ➡ https://bhpho.to/2DZerxL 
Mic (Amazon)➡ https://geni.us/83CN3V5
If you enjoy our content please consider supporting us on Patreon. Even $2 a month helps us make more and better content for you!
https://www.patreon.com/MaxYuryev
-~-~~-~~~-~~-~-
PRIVACY POLICY and FULL DISCLOSURE:
°Max Tech is a participant in the Amazon Services LLC Associates Program, an affiliate advertising program designed to provide a means for sites to earn advertising fees  by advertising and linking to amazon.com
°Max Tech is a participant in the B&amp;H Photo Video affiliate program that provides an advertising commission if you purchase through our links. 
°If you purchase something from our affiliate links will get a small commission with no extra cost to you. This makes it possible for us to make more videos. Thank you! 
°We DO NOT collect, store, use, or share any data about you.
-~-~~-~~~-~~-~-</t>
  </si>
  <si>
    <t>Samsung is extending The Frame branding with the new Music Frame. This version isn’t actually a TV at all; it’s a music speaker.
Subscribe: http://goo.gl/G5RXGs
Like The Verge on Facebook: https://goo.gl/2P1aGc
Follow on Twitter: https://goo.gl/XTWX61
Follow on Instagram: https://goo.gl/7ZeLvX
Follow on TikTok: http://bit.ly/42VeCVU
The Vergecast Podcast: https://pod.link/430333725
Decoder with Nilay Patel: http://apple.co/3v29nDc 
More about our podcasts: https://www.theverge.com/podcasts
Read More: http://www.theverge.com
Community guidelines: http://bit.ly/2D0hlAv
Wallpapers from The Verge: https://bit.ly/2xQXYJr
Subscribe to The Vergecast on YouTube, new episodes on Wednesday and Friday: https://bit.ly/3I6nJtz</t>
  </si>
  <si>
    <t>Inside this modest little Asus ExpertBook laptop, you'll find a slot on the side that you've probably never seen on a laptop before. It's a credit card reader, built into the side next to the other ports that can read the chip on a credit card. That means you can skip the Square reader, yes, but Asus says it's also made for high-security situations such as with government employee identification cards.
#ces #digitaltrends #ces2024 #technology #tech #asus @ASUS</t>
  </si>
  <si>
    <t>There's a lot of cool tech to see at CES 2024 — including some wild concepts for folding smartphones. Here are two I looked at from Samsung.
#samsung #ces #ces2024 #digitaltrends #tech #technology #foldingphone</t>
  </si>
  <si>
    <t>More great tech products from the walking around at CES, including projectors from Xgimi and Ultimea, projector screens from Spectra, tv mounts, massage chairs, and even raw power with EcoFlow’s solid Stat portable batteries.  
Xgimi website - https://bit.ly/3tLfJuS 
Ultimea Website - https://www.ultimea.com/?ref=btheinstaller
Ecoflow on Amazon - https://amzn.to/3HecS0r
Projector Screen - https://www.projectorscreen.com/?af=bti-af
#xgimi 
#ultimea 
#ecoflow
links may earn commissions at no cost to you.</t>
  </si>
  <si>
    <t>LG brought the heat this year at CES 2024! Check out all the tech linked below.
LG CES 2024 website : https://www.LG.com/CES2024
Watch Zack’s video here: https://youtu.be/sQ6S7XzvFgw?si=0ypqJ3FaQeiwGfFP
#ReinventYourFuture #LGCES2024 #LG #LGElectronics #CES2024 #LifesGood #ad
Social Networks:
Join my Discord Server: https://discord.gg/F7Q2F7aque
Instagram: http://bit.ly/1Q7GoH4
Twitter: http://bit.ly/1ItDLeU
Facebook: http://bit.ly/22zYfsO
Snapchat: uacreviews
UrAvgGF - 
Twitter: http://bit.ly/2g9x89W
Instagram: http://bit.ly/2fq9Ngf
Snapchat: uravggf
For business inquires email: UrAvgConsumer@gmail.com</t>
  </si>
  <si>
    <t>At CES 2024, I headed to the Showstoppers media event. Here are the best new devices that I saw that are great for any Apple user including smart air purifiers, an iPhone keyboard case, new heart rate-tracking earbuds, and much more!
Chapters ➡
0:00 Intro
0:07 AirThings sensors &amp; air purifier
0:49 Mila air purifier
1:36 Clicks creator keyboard case
3:32 Sennheiser Momentum Sport earbuds
4:36 Utec Home Key lock
5:28 Cricut Joy Extra
Shop AppleInsider merch ➡ https://cottonbureau.com/people/appleinsider
Grab the LOWEST prices on Apple gear! _xD83D__xDC47_
Macs - https://prices.appleinsider.com/current-gen
iPads - https://prices.appleinsider.com/ipad
Apple Watches - https://prices.appleinsider.com/apple-watch
AirPods - https://prices.appleinsider.com/apple-airpods
AppleInsider may earn commission on purchases made through affiliate links and may receive products for the purpose of review.
Ethics policy: https://appleinsider.com/help/ethics/
Follow our social channels! _xD83D__xDC47_
Twitter - https://twitter.com/appleinsider/
Facebook - https://www.facebook.com/AppleInsiderdotcom/
Instagram - https://www.instagram.com/appleinsider/
Download our iOS app - https://itunes.apple.com/us/app/appleinsider/id578462575
New here? AppleInsider has been around since the 1997 covering anything, and everything Apple. This YouTube channel will give you the best coverage for anything Apple related. New MacBooks? We'll cover them! New iPhones? We got you covered on that as well. Want to get the most out of your new Apple product? We've got videos to help you with that. Make sure to subscribe, comment, and share our videos!
For all the breaking Apple tech news you'll ever need, visit https://appleinsider.com!</t>
  </si>
  <si>
    <t>Ex-Google TechLead reports from CES 2024, Las Vegas. #ces2024 
Ace your coding interviews with ex-Google/ex-Facebook training. https://techinterviewpro.com/
_xD83D__xDCBB_ Get access to 100+ programming interview problems explained: https://coderpro.com/
_xD83D__xDCF7_ Learn how to build your own successful business on YouTube: http://youtubebackstage.com/
_xD83D__xDCBB_ I’ll send you FREE daily coding interview questions to practice your skills: http://dailyinterviewpro.com/
_xD83D__xDED2_ My computer and camera gear: https://www.amazon.com/shop/techlead/list/UVRWWQKBFRR
_xD83D__xDCB5_ Merch! The ultra-thin TechLead wallet: https://amzn.to/42UyYOb
⌨️ My favorite keyboards: http://iqunix.store/techlead
Follow me on social media:
https://instagram.com/techleadhd
https://x.com/techleadhd
Disclaimer: This description may contain affiliate links.</t>
  </si>
  <si>
    <t>CES 2024 brought some interesting new updates in the world of gaming tech.
Subscribe for more: https://www.youtube.com/gameranxTV?sub_confirmation=1    
0:00 Intro
0:17 Number 10
2:01 Number 9
3:24 Number 8
4:36 Number 7
5:34 Number 6
6:12 Number 5
7:15 Number 4
8:06 Number 3 
9:14 Number 2 
10:19 Number 1 
11:29 Bonus</t>
  </si>
  <si>
    <t>Check out SHARGE's unique chargers and more ➡ https://shareasale.com/r.cfm?b=2135808&amp;u=3346221&amp;m=130510&amp;urllink=&amp;afftrack=
Order the new Sharge 170 Charger! ➡  https://bit.ly/3RWvQO4
Their Sharge 170 was actually the charger we chose to bring to CES 2024, so check it out above!
Like our wallpapers? Download them here ➡ https://bit.ly/2WNc6Qw
If you enjoyed this video, please subscribe to help us reach 2 million subscribers! We would greatly appreciate it! 
Timestamps ⬇️
CES Day 2 - 00:00
#1 - 0:10
#2 - 2:00
#3 - 2:20
#4 - 3:37
#5 - 4:59
#6 - 5:28
Outro - 7:15
Xcode Benchmark built for Max Tech by Maxim Eremenko ➡ https://github.com/devMEremenko/XcodeBenchmark
Buy one of our NEW T-Shirts to help support us! ➡ https://max-tech-store.creator-spring.com/
~~~~~~~~~~~~~~~~~~~~~~~~~~~~~~~~~~~
Shop on Amazon ➡ https://geni.us/wB2mWqd
Shop on B&amp;H ➡ https://bhpho.to/2kfoI34
Shop on Adorama ➡ https://bit.ly/2R7qezq 
10% off unlimited yearly music licensing on Soundstripe (what I use for all my videos) use coupon code "Max" here: http://soundstripe.grsm.io/e/6lv
Shot with (Amazon) ➡ https://geni.us/XE0r
Lens (B&amp;H) ➡ https://bhpho.to/2DZerxL 
Mic (Amazon)➡ https://geni.us/83CN3V5
If you enjoy our content please consider supporting us on Patreon. Even $2 a month helps us make more and better content for you!
https://www.patreon.com/MaxYuryev
-~-~~-~~~-~~-~-
PRIVACY POLICY and FULL DISCLOSURE:
°Max Tech is a participant in the Amazon Services LLC Associates Program, an affiliate advertising program designed to provide a means for sites to earn advertising fees  by advertising and linking to amazon.com
°Max Tech is a participant in the B&amp;H Photo Video affiliate program that provides an advertising commission if you purchase through our links. 
°If you purchase something from our affiliate links will get a small commission with no extra cost to you. This makes it possible for us to make more videos. Thank you! 
°We DO NOT collect, store, use, or share any data about you.
-~-~~-~~~-~~-~-</t>
  </si>
  <si>
    <t>Samsung showcased this new feature at CES 2024 where you can use your Samsung phone as a webcam instead of your laptop or external webcam. 
Join this channel to get access to perks:
https://www.youtube.com/channel/UCCOrp7GPgZA8EGrbOcIAsyQ/join
Thank you for watching!
Buy My BLUE Mat:https://a.co/d/h3iPG3i
Website( Mail-ins are currently closed) : https://www.phonerepairguru.com/
Second Channel: https://www.youtube.com/channel/UCvi7NknbfeYAbJX3rEpI1ZQ
Ask a Question (Join the Subreddit): https://www.reddit.com/r/PhoneRepairTalk/
PROMO INQUIRIES: sean@prettygoodagents.com
Social:
Check us out on Instagram https://www.instagram.com/therealphonerepairguru/?hl=en
Or on TikTok https://www.tiktok.com/@phonerepairguru?lang=en
Snapchat: https://www.snapchat.com/add/phonerepairguru
Twitter: https://twitter.com/therealprg?lang=en
Facebook: https://www.facebook.com/phonerepairguruu/
(The Following affiliate links)
My Repair Tools :
MAGSAFE MAGNETS : https://geni.us/BgyY
Tools and Organizer( iPhone Screen Stand/ iPad Screen Stand - Microsoldering tools etc) https://www.wrepair.com (Discount Code PRG5 for 5% Off Entire Store/ Discount Code PRG10 for 10% off $500+ orders)
Charging Hub With Amp Meter: https://amzn.to/3DzHecF
Qianli Screw Driver Holder: https://geni.us/QIANLIICUBE
Qianli Screw Drivers : https://geni.us/QIANLISCREWDRIVER
Grinding Pen: https://s.click.aliexpress.com/e/_DDJzf3p
Display / Battery Programmer:  https://geni.us/QIANLIPROGRAMMER
Tools Used (IFIXIT) : https://geni.us/JBYJF
Qianli Clamps: https://geni.us/QianliClamps
Electric Air Duster: https://geni.us/AirDusterESD
My Blue Repair Mat: https://a.co/d/h3iPG3i
Ifixit Starter Kit:  https://geni.us/STARTERKIT
Phone Cooker (Heat Pad) : https://amzn.to/3OYQz06
Heat Gun: https://geni.us/HEATGUN
Electronic Screw Driver: https://geni.us/WOWSTICK
Filming Gear:
LUMIX G85 https://geni.us/G85CAMERA
Lumix GH5 https://geni.us/PANASONICLUMIXGH5
Rode Wireless Go Mic https://geni.us/RHODEWIRELESSGO
Rode VideoMicro https://geni.us/RHODEMIC
Studio Lights https://geni.us/STUDIOLIGHTS
Spinning Thing https://geni.us/ROTATINGDISPLAYSTAND
Guru Approved:
Airpods Pro: https://amzn.to/3Qfel9l
Airpods: https://amzn.to/3Qmsn9n
Airpods Max: https://amzn.to/3QknnlB
Airtags: https://amzn.to/3bqKEmS
Easy Button https://geni.us/EASYBUTTON
Gameboy Case https://geni.us/GAMEBOYCASE
MagSafe Phone Cooler https://geni.us/jCfJoB
Nutella AirPod Case https://geni.us/PhUZC
Giant AirPod https://geni.us/GIANTAIRPOD
Nano Leaf Lights https://geni.us/xuKg
Anker MagSafe Charging Stand https://geni.us/ANKER
Phone Repair Guru assumes no liability for any damage caused to your phone as a result of any of the information contained in this video.
Do not attempt unless you are open to the possibility of further damaging your device.</t>
  </si>
  <si>
    <t>Thanks to Seasonic for sponsoring our CES 2024 coverage! Check out their Magflow fans at https://lmg.gg/GoFuo
► GET MERCH: https://lttstore.com
► GET EXCLUSIVE CONTENT ON FLOATPLANE: https://lmg.gg/lttfloatplane
► LISTEN TO THE TECH NEWS: https://lmg.gg/TechLinkedPodcast
► SPONSORS, AFFILIATES, AND PARTNERS: https://lmg.gg/partners
► OUR PODCAST GEAR: https://lmg.gg/podcastgear
NEWS SOURCES: https://lmg.gg/kKxPh
---------------------------------------------------
Timestamps:
0:00 riley's just glad he's not in Vegas
0:09 Samsung transparent OLEDs + robots
1:43 ASUS Zenbook Duo + AirVision M1
3:27 Lenovo's Windows-Android hybrid
5:37 Seasonic MagFlow Fans
6:10 QUICK BITS INTRO
6:20 Razer rumbles butts
7:06 Intel APO comes to 12th, 13th gen
8:02 Google Chrome in cars, Android Quick Share
8:40 OpenAI swings back at NYT
9:32 Twitch lays off a third of its staff
FOLLOW US ELSEWHERE
---------------------------------------------------  
Twitter: http://twitter.com/TechLinkedYT
Instagram: http://instagram.com/TechLinkedYT
Facebook: http://facebook.com/TechLinked
TikTok: https://www.tiktok.com/@techlinkedyt</t>
  </si>
  <si>
    <t>Sponsored by Factor - Go to http://factormeals.com/newsday50 and use code newsday50 to get 50% off.
■
Please consider Becoming a Member of the Channel: Click the JOIN Button
■
Twitter:
http://twitter.com/internettodaytv
http://twitter.com/eliotetc
■
Timestamps:
00:00 - CES 2024
26:26 - Elon Musk
■
Sources: 
• $4800 AI birdwatching binoculars
https://www.theverge.com/2024/1/10/24032871/ai-binoculars-swarovski-optic-ax-visio-ces-price-release-date 
• Flappie cat door
https://www.engadget.com/the-flappie-ai-cat-door-stops-your-pet-from-gifting-you-dead-mice-033237654.html?src=rss 
• Ballie
https://www.cnet.com/home/smart-home/samsungs-ballie-ai-robot-now-has-a-projector-on-board/ 
• Baby translator
https://www.cnet.com/tech/services-and-software/this-app-says-it-can-translate-your-babys-cries-using-ai/ 
• SAG-AFTRA Replica agreement
https://www.sagaftra.org/sag-aftra-and-replica-studios-introduce-groundbreaking-ai-voice-agreement-ces 
https://deadline.com/2024/01/sag-aftra-deal-replica-studios-ai-voice-replication-video-games-1235700341/ 
https://www.forbes.com/sites/conormurray/2024/01/10/video-game-voice-actors-criticize-sag-aftra-over-agreement-with-ai-company/?sh=3fe1ba0f374e 
https://www.gamespot.com/articles/sag-aftra-approves-ai-voice-acting-for-video-games/1100-6520224/ 
• LG transparent TV
https://www.theverge.com/2024/1/8/24029590/lg-oled-t-transparent-tv-announced-specs-features 
https://gizmodo.com/lg-unveils-transparent-oled-tv-1851151619?utm_source=vip 
• Indoor meat smoker
https://gizmodo.com/ge-smart-indoor-smoker-bbq-999-1851134026?rev=1704471855447 
• Steak toaster
https://www.cnet.com/home/yard-and-outdoors/would-you-put-your-ribeye-in-a-toaster-the-makers-of-the-new-perfecta-grill-think-you-should/ 
• X panther
https://twitter.com/elonmusk/status/1744822606535049619 
https://twitter.com/Josejusejo/status/1744845205285576930 
• Elon Musk is a racist
https://gizmodo.com/elon-musk-endorses-tweet-saying-students-at-black-colle-1851156533 
• Another Elon banning spree
https://www.nbcnews.com/tech/social-media/x-temporary-ban-journalist-accounts-raises-alarm-rcna133084 
https://gizmodo.com/elon-musk-x-twitter-journalists-banning-spree-1851151593?utm_source=vip 
https://twitter.com/yugopnik/status/1744710070468784247 
https://twitter.com/Esqueer_/status/1744723064703905920 
• Elon’s on drugs
https://www.wsj.com/business/elon-musk-illegal-drugs-e826a9e1 
https://gizmodo.com/elon-musk-denies-he-has-a-drug-problem-after-bombshell-1851148513?utm_source=vip 
https://twitter.com/elonmusk/status/1743966490917794153 
• No more NFT profile pictures
https://techcrunch.com/2024/01/10/x-removes-support-for-nft-profile-pictures/ 
• More X exclusive shows
https://fortune.com/2024/01/09/elon-musk-x-video-first-platform/ 
https://www.theverge.com/2024/1/9/24031614/x-don-lemon-show-tulsi-gabbard-jim-rome 
• SEC account hacked
https://arstechnica.com/tech-policy/2024/01/sec-says-x-account-was-hacked-as-false-post-causes-bitcoin-price-swings/ 
https://www.vice.com/en/article/5d94vx/sec-x-hack-bitcoin-etf-approved 
https://gizmodo.com/x-securities-and-exchange-commission-bitcoin-elon-musk-1851153694?utm_source=vip</t>
  </si>
  <si>
    <t>This streams filled with some stank. It's a Costco trail mix bag filled with Mario Party: Superstars, Buckshot Roulette with Ryan, and a look at the dumb AI nonsense plopping out of CES this year.
Join the Dog Pound* to support the channel and unlock membership benefits and content: https://www.youtube.com/channel/UCboMX_UNgaPBsUOIgasn3-Q/join
(*"Dog Pound Membership" is copyright James-Patrick Inc. LLC Industries Incorporated)</t>
  </si>
  <si>
    <t>Watch the NVIDIA Special Address at CES and discover the latest innovations for gaming, creating, generative AI, and robotics.</t>
  </si>
  <si>
    <t>Au CES 2024, Samsung Display expose quelques prototypes intéressants, essentiellement autour des smartphones pliants et extensibles.
⚠️ Plus d’infos ❓ On déroule ! _xD83D__xDC47_ 
_xD83D__xDEA9_ L'article complet ▶ https://www.frandroid.com/marques/samsung/1905469_vous-devez-voir-ces-6-prototypes-decrans-impressionnants-chez-samsung
Rejoignez notre serveur Discord pour discuter avec les autres membres de la communauté Frandroid, pour s'entraider, mais aussi participer à des concours exclusifs : https://discord.gg/frandroid-311789172149190657
——————————
00:00 Les prototypes de Samsung au CES !
00:54 Samsung Flex Liple
01:39 Flex In &amp; Out
02:14 Flex Note
02:47 Flex Hybrid
03:22 Flex Note Extendable
03:55 OLED Earbuds Case
04:30 Abonnez vous !
——————————
_xD83D__xDECE_ Abonnez-vous à notre chaîne ▶ https://www.youtube.com/user/FrAndroidTube?sub_confirmation=1
——————————
_xD83D__xDC49_ Frandroid est un média dédié à la tech suivi par des millions de passionné(e)s. Ici, vous trouverez des vidéos sur tous les univers, du smartphone à la voiture électrique ! 
Rejoignez-nous :
_xD83D__xDCBB_  Le site : http://www.frandroid.com/
_xD83C__xDF0D_  Facebook : https://www.facebook.com/frandroidcom
_xD83D__xDC26_  Twitter : https://twitter.com/Frandroid
_xD83D__xDCF8_  Instagram : https://www.instagram.com/frandroid_off/
_xD83D__xDCAC_  Discord : https://discord.gg/frandroid-311789172149190657
_xD83D__xDCF9_  Twitch : https://www.twitch.tv/frandroidlive
_xD83C__xDFAC_ TikTok https://www.tiktok.com/@frandroid_</t>
  </si>
  <si>
    <t>Прозорий екран від Samsung _xD83D__xDE31_ Усі новинки CES 2024!
_xD83D__xDC49_ TikTok Andro News - https://www.tiktok.com/@andronews_off...
_xD83D__xDC49_ Telegram Andro News з новинами - https://t.me/andronews_official
_xD83D__xDC49_ Сайт Andro News з новинами - https://andro-news.com/
_xD83D__xDD25_ Низькі ціни на Aliexpress - https://t.me/androprice_ali
_xD83D__xDD25_ Наш магазин електроніки з найкращими цінами - https://t.me/andro_price</t>
  </si>
  <si>
    <t>Siemens CEO Dr. Roland Busch will showcase technology that is enabling leading brands to improve the way we live, work, move, and make.</t>
  </si>
  <si>
    <t>_xD83D__xDCB2_Instale nosso economizador para encontrar o melhor preço: https://economize.mundoconectado.com.br/
_xD83D__xDCF1_Entre no nosso Canal de Ofertas:
_xD81A__xDDF9_ Telegram: https://t.me/ofertasmundoconectado
_xD81A__xDDF9_ Whatsapp: https://linktr.ee/mundo_conectado
A Samsung apresentou na CES 2024 a nova linha de eletrodomésticos Bespoke para oferecer aos usuários uma experiência de cozinhas, lavanderias e outros dispositivos conectados e personalizados. Todos os novos produtos vêm com IA e conectividade através do aplicativo Smart Things.
No rolê pelo stand de casa conectada da Sasmung, conferimos alguns produtos bem futurísticos como: Refrigeador Bespoke AI com câmera integrada, Fogão por indução Slide-in Range, Forno Bespoke AI para time-lapse de comidas, Bespoke AI Laundry, Bespoke Jet Bot Combo com sensor LiDAR, Ar-condicionado WindFree 3.0 e muito mais!
__________
01:38 - Cozinha
07:36 - Limpeza
12:56 - Ar-condicionado
14:04 - Carros / Tesla
15:57 - Smart Things e Matter
_xD83D__xDCF1_ Celulares Samsung Galaxy:
_xD81A__xDDF9_ Galaxy S23 de 128/256GB: https://amzn.to/3RqAZgF 
_xD81A__xDDF9_ Galaxy S23 Plus de 256/512GB: https://amzn.to/3wNsNNZ
_xD81A__xDDF9_ Galaxy S23 Ultra de 256/512GB: https://amzn.to/40myzUs
_xD81A__xDDF9_ Galaxy S22 de 128GB: https://tidd.ly/3QzBXHr
_xD81A__xDDF9_ Galaxy S22 de 256GB: https://amzn.to/49BRQpM
_xD81A__xDDF9_ Galaxy S22 Plus de 128GB: https://mercadolivre.com.br/sec/1vUHzWV
_xD81A__xDDF9_ Galaxy S22 Plus de 256GB: https://mercadolivre.com.br/sec/1vUHzWV
_xD81A__xDDF9_ Galaxy S22 Ultra de 256/512GB: https://amzn.to/47gMChC
_xD83D__xDCF1_ Celulares Apple iPhone:
_xD81A__xDDF9_ iPhone 15 Pro Max: https://amzn.to/3ZwgKlK
_xD81A__xDDF9_ iPhone 15 Pro: https://tidd.ly/479VnKd
_xD81A__xDDF9_ iPhone 15 Plus: https://amzn.to/465FdB7
_xD81A__xDDF9_ iPhone 15 : https://amzn.to/468O6sF
_xD81A__xDDF9_ iPhone 14: https://amzn.to/3E01JyX
_xD81A__xDDF9_ iPhone 14 Plus: https://amzn.to/3P1uZvd
_xD81A__xDDF9_ iPhone 14 Pro de 128GB: https://tidd.ly/3QVK3LS
_xD81A__xDDF9_ iPhone 14 Pro de 512GG/1TB: https://amzn.to/3qG2jyD
_xD81A__xDDF9_ iPhone 14 Pro Max de 128GB: https://tidd.ly/47bnFnt
_xD81A__xDDF9_ iPhone 14 Pro Max de 256/512GB/1TB: https://mercadolivre.com.br/sec/2wXNsZs
_xD81A__xDDF9_ iPhone 13 de 128/256/512GB: https://amzn.to/3OF8Hy4
_xD81A__xDDF9_ iPhone 13 Pro de 128/256/512GB/1TB: https://amzn.to/3quo9Fn
_xD81A__xDDF9_ iPhone 13 Pro Max de 128/256/512GB: https://amzn.to/3QGELo1
_xD81A__xDDF9_ iPhone 13 Pro Max de 1TB: https://tidd.ly/47sJ0IX
_xD83D__xDCFA_ Smart TVs:
_xD81A__xDDF9_ LG OLED A1 65": https://tidd.ly/47ujQtl
_xD81A__xDDF9_ LG OLED C1 65": https://amzn.to/46cgASj
_xD81A__xDDF9_ LG OLED G2 65": https://mercadolivre.com.br/sec/1txi8Th
_xD81A__xDDF9_ LG NANO 75 55": https://tidd.ly/3MIAxcB
_xD81A__xDDF9_ Samsung The Frame 32": https://tidd.ly/3syV1Og
_xD81A__xDDF9_ Samsung The Frame 43": https://tidd.ly/3SDXMbp
_xD81A__xDDF9_ Samsung QN85B 55": https://tidd.ly/47fyxRl
_xD81A__xDDF9_ Samsung QN85B 65": https://amzn.to/46b315Q
_xD81A__xDDF9_ Samsung QN90B 50": https://tidd.ly/3FUP4Oq
_xD81A__xDDF9_ Samsung QN90B 43": https://tidd.ly/3FYITsI 
_xD81A__xDDF9_ Samsung Q80A 50": https://tidd.ly/3QD9ksR
_xD81A__xDDF9_ Samsung Q80A 55": https://divulgador.magalu.com/h-cOiJ_P
_xD81A__xDDF9_ Samsung CU7700 50": https://tidd.ly/3MI2Pns
_xD81A__xDDF9_ Samsung CU7700 55": https://tidd.ly/3FXwZ2w
_xD81A__xDDF9_ Samsung CU7700 65": https://tidd.ly/477X0Ij
_xD81A__xDDF9_ TCL C825 55": https://tidd.ly/3QWFH7i
_xD81A__xDDF9_ TCL C835 65": https://tidd.ly/3stjGDP
_xD83C__xDFE0_Produtos para sua CASA CONECTADA:
_xD81A__xDDF9_ Aspirador Kabum Smart 700: https://tidd.ly/3QEN9CP
_xD81A__xDDF9_ Aspirador Kabum Smart 500: https://tidd.ly/3QJxlyO
_xD81A__xDDF9_ Lâmpada LED Kabum Smart: https://tidd.ly/3QWg9ax
_xD81A__xDDF9_ Lâmpada Inteligente Positivo: https://amzn.to/3QCBi8d
_xD81A__xDDF9_ Lâmpada Inteligente Elgin: https://amzn.to/3QWfMg9
_xD81A__xDDF9_ Extensão Inteligente Kabum Smart 500: https://tidd.ly/3QU8LMQ
_xD81A__xDDF9_ Controle Universal Kabum Smart 500: https://tidd.ly/40D9LYW
_xD81A__xDDF9_ Projetor de Estrelas Kabum: https://tidd.ly/49K0a6S
_xD81A__xDDF9_ Fita LED RGB Kabum: https://tidd.ly/46bJVfB
_xD81A__xDDF9_ Interruptor Kabum: https://tidd.ly/3MFmLaP 
_xD81A__xDDF9_ Projetor The Freestyle: https://tidd.ly/46dbVQ0
_xD83C__xDFF7_️Produtos AMAZON
_xD81A__xDDF9_ Echo Pop: https://amzn.to/47mMXzp
_xD81A__xDDF9_ Echo Dot 5ª geração: https://amzn.to/466f0S0
_xD81A__xDDF9_ Echo Show 5: https://amzn.to/40zBgCK
_xD81A__xDDF9_ Echo Show 8: https://amzn.to/3uGTzau
_xD81A__xDDF9_ Echo Show 10: https://amzn.to/3nTZeWT
_xD81A__xDDF9_ Echo Show 15: https://amzn.to/3MKXFan
_xD81A__xDDF9_ Echo Studio: https://amzn.to/3c83JtY
_xD81A__xDDF9_ Fire TV Stick 4K: https://amzn.to/3QVFxNx
_xD81A__xDDF9_ Fire TV Stick Full HD: https://amzn.to/3ccjXCJ
_xD81A__xDDF9_ Kindle 11ª geração: https://amzn.to/3QXxn7x
_xD81A__xDDF9_ Kindle Paperwhite: https://amzn.to/3QYCYdL
_xD81A__xDDF9_ Kindle Oasis 8GB: https://amzn.to/3PpwNf3
_xD81A__xDDF9_ Echo Buds 2ª geração: https://amzn.to/3yZGX0v
_xD83D__xDE80_Drones, gimbals e câmeras de ação:
_xD81A__xDDF9_ DJI Mini 3 Pro RC: https://mercadolivre.com.br/sec/1S65ivM
_xD81A__xDDF9_ DJI Mini 3 Pro RC + Fly More Plus: https://mercadolivre.com.br/sec/2LitiDD
_xD81A__xDDF9_ DJI Mavic 3 Fly More: https://mercadolivre.com.br/sec/19WQHZD
_xD81A__xDDF9_ DJI OSMO Mobile 5: https://mercadolivre.com.br/sec/2iJdZcR
_xD81A__xDDF9_ DJI Action 2 Dual Screen: https://bit.ly/action2dual
_xD81A__xDDF9_ DJI Action 2 Power Combo: https://bit.ly/action2power
Acompanhe todo nosso conteúdo em http://mundoconectado.com.br/
Curta nossa página no Facebook!
https://facebook.com/MundoConectado/
Siga-nos no Instagram!
https://instagram.com/MundoConectadobr
Siga-nos no Twitter!
https://twitter.com/MundoConectadoo</t>
  </si>
  <si>
    <t>Ma tényleg megnyílt a CES, a felét nagyjából bejártam, részt vettem pár rendezvényen és megint sokféle emberrel beszélgettem, ez itt az első publikus nap szubjektív élménybeszámolója.
Ha csatlakozol ehhez a csatornához, akkor aprócska, de kézzelfogható jutalmakban részesülhetsz:
https://www.youtube.com/channel/UCzlxYxlDo6oZuUkCrex5V4A/join</t>
  </si>
  <si>
    <t>_xD83C__xDF08_ CES 2024 pokrývám na IG stories - https://instagram.com/huramobil/ 
❌ Sleduj mne na X (Twitteru) - https://twitter.com/huramobil 
_xD83E__xDDF5_ Diskutovat můžeme na Threads - https://www.threads.net/@huramobil
_xD83D__xDE0A_ Fórky, aktuality a slevové kódy na Facebooku - https://www.facebook.com/huramobil.cz/ 
_xD83D__xDD14_ ODEBÍREJ nás na YouTube - https://www.youtube.com/c/HURAMOBIL?sub_confirmation=1
Zdravím vás z Las Vegas z veletrhu #CES2024 a přináším první vlog, ve kterém vám představím skvělou AI vizi pro automobily. Harman z rodiny Samsung prohloubil partnerství s výrobci třetích stran a rozšiřují automobilový infotainment o dosud nevídané možnosti. Společně představili systémy HARMAN Ready Care, Ready Vision a Ready Display. Pojďte se na převratné inovace podívat.
► VÝBĚRY TOP 5 MOBILŮ [podzim/zima 2023]
TOP 5 mobilů do 5 000 Kč - https://youtu.be/hBLSCDRYkxY
TOP 5 mobilů do 7 000 Kč - https://youtu.be/dM3bVpSr6uM
TOP 5 mobilů do 10 000 Kč - https://youtu.be/YQFXDLA-PGU
TOP 5 mobilů do 15 000 Kč - https://youtu.be/a1YYn645gkU
TOP 5 mobilů do 20 000 Kč - https://youtu.be/E6rK_IFGXqQ
TOP 5 mobilů nad 20 000 Kč - https://youtu.be/c9V-n6KqeEw
► RECENZE MOBILNÍCH TELEFONŮ
Apple - https://youtube.com/playlist?list=PL4PwylXcxHxVUgPuOVAwpS0Ae7kjgi27L  
Samsung - https://www.youtube.com/playlist?list=PL4PwylXcxHxWlg-_K547I41NEBlwB4DPV 
Xiaomi - https://www.youtube.com/playlist?list=PL4PwylXcxHxW6uSv_2J1mcRDmU1cfm0f1 
Asus - https://www.youtube.com/playlist?list=PL4PwylXcxHxXyEc0oAenhOv2ohS12q3YW 
Huawei - https://www.youtube.com/playlist?list=PL4PwylXcxHxX3wJa0GZ-Z_OvD9CPgNhAv 
OnePlus - https://www.youtube.com/playlist?list=PL4PwylXcxHxVbFXiZK6Vjad2LVYP7yYTW 
realme - https://www.youtube.com/playlist?list=PL4PwylXcxHxWfRnDUDYtZKGYUCKrg1DZ0
► PRÁVĚ TEĎ NEJLEPŠÍ MOBILY PODLE PETRA
Apple iPhone 15 - https://www.huramobil.cz/apple-iphone-15/
Apple iPhone 15 Pro Max - https://www.huramobil.cz/apple-iphone-15-pro-max/
ASUS ROG Phone 7 - https://www.huramobil.cz/asus-rog-phone-7/
ASUS Zenfone 10 - https://www.huramobil.cz/asus-zenfone-10/ 
Motorola Edge 40 - https://www.huramobil.cz/motorola-edge-40/
OnePlus Nord 3 - https://www.huramobil.cz/oneplus-nord-3/
Redmi Note 12 Pro+ 5G - https://www.huramobil.cz/xiaomi-redmi-note-12-pro-plus-5g/ 
Samsung Galaxy S23 - https://www.huramobil.cz/samsung-galaxy-s23/
Samsung Galaxy S23 Ultra - https://www.huramobil.cz/samsung-galaxy-s23-ultra/ 
vivo X90 Pro - https://www.huramobil.cz/vivo-x90-pro/
Xiaomi 13 Pro - https://www.huramobil.cz/xiaomi-13-pro/
Xiaomi 13T - https://www.huramobil.cz/xiaomi-13t/ 
► VEŠKERÁ HUDBA Z https://www.epidemicsound.com/
_xD83D__xDD17_ ODKAZY POUŽITÉ V POPISU VIDEA MOHOU BÝT V RÁMCI PLACENÉ SPOLUPRÁCE ČI AFFILIATE PROGRAMU - Z prokliku na jednotlivé odkazy a případného nákupu může získat náš kanál malou provizi. Vás takový nákup nestojí nic navíc a naopak nákupem prostřednictvím těchto prokliků podporujete tvorbu našeho kanálu. Děkujeme _xD83D__xDE4F_</t>
  </si>
  <si>
    <t>_xD83D__xDD25_Lista de recomendações do Canaltech por faixa de preço_xD83D__xDD25_: 
 ➡ https://canalte.ch/guiadecompra
_xD83D__xDD25_ PARA ECONOMIZAR: GRUPO DE OFERTAS NO WHATSAPP E NO TELEGRAM _xD83D__xDD25_
https://ofertas.canaltech.com.br/grupos-de-oferta/?utm_source=youtube
_xD83D__xDEA9_ NO INSTAGRAM: https://www.instagram.com/ctofertas/...
_xD83D__xDE01_ BAIXE E ECONOMIZE SE TIVER ANDROID OU IOS: https://ofertas.canaltech.com.br/app-ct-ofertas/
_xD83C__xDFA7_ Ouça também o Porta 101, podcast semanal, e o Podcast Canaltech, programa diário de notícias _xD83C__xDFA7_ 
https://canaltech.com.br/podcast/
_xD83D__xDE0D_ INSCREVA-SE NO NOSSO CANAL _xD83D__xDC4D_
https://canalte.ch/assineyoutube
_xD83D__xDC49_INSTAGRAM: https://www.instagram.com/canaltech/
_xD83D__xDC49_FACEBOOK: https://www.facebook.com/canaltech
_xD83D__xDC49_TWITTER: https://twitter.com/canaltech
_xD83D__xDC49_SITE: https://canalte.ch/ctoigyt
_xD83D__xDC49_TIKTOK: https://www.tiktok.com/@canaltech</t>
  </si>
  <si>
    <t>¡Juegos más baratos en G2A!: https://www.g2a.com/n/tsqd
Compra tus accesorios en AMZ y ayuda a crecer el canal: 
MX: https://amzn.to/2A8hLsC
ES: https://amzn.to/3dCLY1e
US: https://amzn.to/31qOEMO
Hacemos Streams de Gaming variado de Lunes a Jueves y Domingo en Twitch, 12 del día CDMX además si tienes Amazon Prime te puedes suscribir a nuestro canal de manera gratuita, no te cuesta un solo centavo y nos ayudas mucho a crecer.
https://www.twitch.tv/tortillasquad
Únete a nuestro Discord: https://discord.gg/Tqv3G6k
Nuestro canal de Tests de tarjetas de video: https://www.youtube.com/channel/UCwzgMdN0X82Wmt72XjWduFQ
Nuestro canal de Gameplays: 
https://www.youtube.com/channel/UCFvUx0c0CFWZPUNRYjQk6Gw
En Nitrado podrás rentar servidores de Minecraft y otros juegos por un monto bastante económico. http://bit.ly/nitradotsqd
Componentes de nuestras PCs: http://bit.ly/2DHmmhD
Nuestro grupo de facebook: https://www.facebook.com/groups/chillakillers/
Redes sociales:
Facebook: http://www.facebook.com/tortillasquad
Twitter: http://www.twitter.com/TortillaSquad
Instagram: http://www.instagram.com/tortilla.squad/
Gabbhy: 
http://twitter.com/DasMetalGabs
http://www.instagram.com/das.gabs/
Pollo: 
http://twitter.com/nPosho
http://www.instagram.com/nposho/</t>
  </si>
  <si>
    <t>Encerrando o primeiro dia da nossa cobertura do primeiro grande evento de tecnologia do ano, a CES 2024! Agora acompanhamos a transmissão da live do keynote da Sony no evento com tradução em tempo real para português. Prontos para conferir todas as novidades? Vem com a gente! 
[Tipo: Cobertura de Eventos]
CRÉDITOS
Direção: Derek Keller
Apresentação e tradução: Leonardo Rocha e Carlos Palmeira
Técnica: Felipe Pedro (Felps), Derek Keller e Gustavo Katsumi 
Produção: Diana Pordeus, Vitória Schimtz e Pedro Castro
Arte da thumb: Fernando Perazzoli
#Sony #CES2024 #TecMundo</t>
  </si>
  <si>
    <t>CES 2024 is currently taking place in Las Vegas, and some exciting new laptops are being shown off. We're going to talk about the coolest laptop announcements from Dell, Acer, MSI, LG, Asus, and Razer. This time, it's clear that AI and powerful new components like Intel's Core Ultra chips are shaping many new models.
Product Video Studio (Sponsored)
Link: https://swiy.co/pvs
00:00 Intro
01:09 Dell XPS 16 
01:57 Acer Swift Go 14 
02:37: MSI Prestige 16 
03:15: LG Gram
03:43: Asus ZenBook Duo 
04:08: Razer Blade 16 
------------------------------------------------------------------------
***Intro, Outro &amp; Animation Credit:
10.Studio https://swiy.co/credit_10studio
***Music Source:
YouTube Audio Library
***Video Source:
CES : https://www.youtube.com/@CES
Intel Newsroom : https://www.youtube.com/@IntelNewsroom
MSI Global : https://www.youtube.com/@MSI
---------------------------------------------------------------------
***Disclaimer: The following video abides by the YouTube Community Guideline. Footage used in this video is for educational purposes and all the information covered in this video was collected from unofficial sources and assumptions.
***Footage, music, images, and graphics used in the video falls under the YouTube Fair Usage Policy Under Section 107 of the Copyright Act 1976. If you have any copyright issues, please contact us.
***All Affiliated links in the video description help us support this channel.
#laptop #ces #lg</t>
  </si>
  <si>
    <t>#CES2024 #CES
Do us a favour if you are reading this. Hit the Subscribe button and the Bell icon for notifications on our latest video drops. 
Also subscribe to our other channels:
Trakin Tech Tamil: https://www.youtube.com/@trakintechtamil
Trakin Tech (Hindi): at http://www.youtube.com/TrakinTech
Follow us on:
Web: http://trak.in
Instagram: https://instagram.com/trakintechenglish
Twitter: https://twitter.com/trakinenglish
Twitter personal: http://www.twitter.com/r3dash
Facebook: https://www.facebook.com/trakintechenglish
******************************************************************</t>
  </si>
  <si>
    <t>The brand shows off tactile and flexible indoor and outdoor lighting on the show floor.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
#smarthome #lighting</t>
  </si>
  <si>
    <t>Sennheiser has announced three new audio products to ring in the new year: the Sennheiser MOMENTUM True Wireless 4, Sennheiser MOMENTUM Sport Earbuds, and the Sennheiser ACCENTUM Plus Wireless Headphones. Learn more about these upcoming products in our video!
Check the Momentum True Wireless 4 and ACCENTUM Plus availability at Sennheiser: http://tyvm.ly/1GsYLcD
Read the Article: https://www.soundguys.com/sennheiser-ces-2024-107247/
Subscribe: http://soundg.co/ytsubscribe
Website: https://www.soundguys.com
Follow us:
Instagram: https://soundg.co/instagram
Twitter: https://soundg.co/twitter
Facebook: https://soundg.co/facebook</t>
  </si>
  <si>
    <t>Sony CES 2024 Presentation Announced, PS5 Exclusive Release Update, Horizon MMO With NCsoft
-----------------------------------------------------------------------------------------------------------------------
Become a channel member:https://www.youtube.com/channel/UC-r774_ow9ojRSQnDv-PpyA/join
-----------------------------------------------------------------------------------------------------------------------
Channel art:rickmejia3@gmail.com
----------------------------------------------------------------------------------------------------------------------
source:https://www.sony.com/en/SonyInfo/blog/2023/12/15/
source:https://www.reddit.com/r/GamingLeaksAndRumours/comments/18teh9o/ncsoft_registered_a_domain_for_a_new_project/
source:https://www.playstationlifestyle.net/2023/12/29/ps5-exclusives-2024-includes-stellar-blade/
-----------------------------------------------------------------------------------------------------------------------
Weekly PlayStation news, opinion and discussion videos and streams</t>
  </si>
  <si>
    <t>ces 2024 ces2024 samsung first look samsung s95d samsung s90d samsung s85d samsung qdoled 2024 samsung tvs 2024 samsung qd-oled 2024 samsung s95d samsung microled galaxy s24 samsung s24 ultra samsung s23 ultra first look consumer tech artificial intelligence samsung electronics ces 2024 samsung tv ces 2024 smart home ces 2024 monitors ces 2024 tv ces 2024 cnet best samsung tvs 2024 ces 2024 preview ces 2024 live ces 2024 samsung</t>
  </si>
  <si>
    <t>Linus LinusTechTips tech news Riley Murdock tech news Riley James James Strieb Wi-Fi Wifi Wi-Fi 7 Wi-Fi CERTIFIED 7 wifi 7 ethernet gaming on wi-fi Qualcomm Intel</t>
  </si>
  <si>
    <t>Showstoppers CES 2024 - Sennheiser Clicks Melkmaschinen und weniger Technikfaultier deutsch Highlights Überblick Sennheiser True Wireless Momentum 4 in-ear Kopfhörer Qualcomm 5s chip ANC Sennheiser Sport earbuds Over-Ear Clicks mr mobile Michael Fisher iPhone Case keyboard iPhone Hülle Blackberry iPhone mit richtiger Tastatur richtigen Tasten Handy IFA 100 Jahre Stände Zusammenfassung CES2024 Bericht meinung 1080p Full HD 4K video clip German</t>
  </si>
  <si>
    <t>Razer CES 2024 - Laptops haptische Gamingmatte RGB &amp; mehr technikfaultier Sensa blade chroma CES Ces2024</t>
  </si>
  <si>
    <t>CES2024 LGdisplay Teaser</t>
  </si>
  <si>
    <t>#shorts actu actualitétech bfmsocial ces ces 2024 lg tech techpub tv</t>
  </si>
  <si>
    <t>CES2024 LGCES2024 LGCES Pressconference LGWorldPremiere LGElectronics ReinventYourFuture CES CES2024LG CESLG</t>
  </si>
  <si>
    <t>lg transparent tv lg transparent oled transparent oled transparent tv LG Signature OLED T LG OLED T see through tv lg lg oled oled tv lg tv transparent tv screen transparent oled display transparent oled tv transparent oled screen transparent oled lg ces 2024 lg ces 2024 transparent tv lg see through tv screen lg see through tv lg g4 oled lg g4 tv lg g4 ces 2024 lg c4 lg c4 oled lg c4 2024 lg c4 mla lg m4 oled lg m4 wireless oled</t>
  </si>
  <si>
    <t>ces 2024 asus rog asus rog ces 2024 asus gaming monitor 27 inch 480hz 480 hz oled asus 480 hz asus rog 480hz monitor 2024 gaming monitors 2024 asus rog zephyrus 2024 asus g14 2024 asus rog g16 2024 asus rog 2024 asus laptop asus 2024 asus 2024 ces 2024 oled gaming monitor 2024 oled monitors Asus 27-inch PG27AQDP 480Hz OLED Asus 39-inch PG39WCDM OLED Asus 32-inch PG32UCDP 4K OLED ROG Zephyrus G14 ROG Zephyrus G16 asus 480hz oled monitor</t>
  </si>
  <si>
    <t>ces 2024 samsung samsung qd-oled monitor samsung qd oled g8 samsung qd oled gaming monitor 2024 samsung monitor samsung oled monitor 2024 samsung monitor 2024 samsung odyssey oled g8 samsung odyssey g8 samsung odyssey samsung odyssey oled g6 samsung 3d monitor ces 2024 samsung 3d monitor 2024 gaming monitors ces gaming monitors ces 2024 gaming monitors samsung qd oled monitor g8 samsung odyssey g8 oled 2024 odyssey g8 samsung G80SD samsung G60SD</t>
  </si>
  <si>
    <t>AI Gen 3 Processor AI upscaling Best 8K TV Best TV Best TV 2024 CES 2024 Neo QLED 8K Neo QLED 8K 2024 New AI upgrade Samsung Samsung Neo QLED Samsung Smart TV Samsung TV Slim TV Slimmest TV Smart TV Surround Sound TV review Ultra Slim TV</t>
  </si>
  <si>
    <t>CES 2024 CES CES2024 Consumer Electronics Show Las Vegas Event dispatch reporting Lon Seidman Lon Reviews Tech Lon.TV</t>
  </si>
  <si>
    <t>thinkcomputers tech pc hardware ces 2024 ces 2024 samsung Odyssey OLED G9 odyssey oled g8 Odyssey OLED G6 samsung oled oled glare free samsung oled glare free Odyssey Ark 2nd Gen Odyssey Neo G9</t>
  </si>
  <si>
    <t>rog ces2024 asus asus rog 2024 laptops gaming phone gaming laptop</t>
  </si>
  <si>
    <t>4471884 Associated Press David Park US NV CES LG Transparent TV (CR) d7ed650863cb43bd8a1b0eae0b161724 f4d303f4789b4afca66ededb53608062 news</t>
  </si>
  <si>
    <t>transparent tv lg signature oled t transparent oled lg transparent tv lg oled t see through tv lg lg oled oled tv ces 2024 lg transparent oled lg ces 2024 transparent tv ces ces 2024 samsung first look CES unveiled CES tech new ces 2024 new tech ces CES ces 2024 samsung ces 2024 monitors ces 2024 tv ces 2024 preview ces 2024 live ces 2024 gaming ces 2024 laptops ember otterbox pepcom 2024 ces pepcom ces 2024 amd ces 2024 vr</t>
  </si>
  <si>
    <t>event livestream live CNET Highlights ces kia</t>
  </si>
  <si>
    <t>ces ces 2024 tech technology tech trends artificial intelligence ai digital health sustainibility 4k tv transparent tv oled smart home smart home gadgets mobile tech electric vehicle car tech las vegas brian tong ijustine sneak peak ces 2024 preview hot tech tech trends 2024 birdfy palmplug cold snap ice cream machine instant ice cream machine ice cream best of ces ces tech</t>
  </si>
  <si>
    <t>pc ces ces 2024 tech mryeester</t>
  </si>
  <si>
    <t>오목교전자상가 오목교 전자상가 SBS 스브스뉴스 IT 테크 VR AR MR XR 가상현실 증강현실 CES CES2024 애플비전프로 VR고글 파나소닉 레티널</t>
  </si>
  <si>
    <t>CNET Technology tech ces lg cars concept car</t>
  </si>
  <si>
    <t>lg ces 2024 ces lg 투명 oled 시그니처 oled t 시네빔 큐브 본보야지 언더케이지 언케 underkg</t>
  </si>
  <si>
    <t>ces ces 2024 samsung first look CES unveiled CES tech new ces 2024 new tech ces CES ces 2024 samsung ces 2024 monitors ces 2024 tv ces 2024 preview ces 2024 live ces 2024 gaming ces 2024 laptops samsung oled glare free samsung 3d gaming monitor samsung infinity transparent display samsung transparent display samsung 8k projector</t>
  </si>
  <si>
    <t>engadget technology consumer tech gadgets science gear tech ces2024 amd chipset keynote Ryzen 8040 ai Radeon RX 7600 XT</t>
  </si>
  <si>
    <t>pcworld pc computer pc world keith may brad chacos nvidia rtx rtx 4070 super rtx 4070 ti super rtx 4080 super best gpu 2024</t>
  </si>
  <si>
    <t>AMD Advanced Micro Devices advancing ai pcs ai pcs ai</t>
  </si>
  <si>
    <t>CNET Technology tech nvidia graphics cards Nvidia graphics cards RTC 4080 super RTC 4070 TI super RTC 4070 super ray tracing dynamic lighting ai ces ces 2024</t>
  </si>
  <si>
    <t>computer PC PC gaming personal computer computer hardware paulshardware CES 2024 AMD CES 2024 RX 7600 XT RX 7600 XT 16GB 8700G 8600G 8500G RTX 4060 new AMD APUs APU integrated graphics AM5 AM4 5700X3D 5700 5600GT and 5500GT</t>
  </si>
  <si>
    <t>CNET Technology tech</t>
  </si>
  <si>
    <t>engadget technology consumer tech gadgets science gear tech ces2024 msi handson msi claw handheld pc portable pc handheld game games pc computer</t>
  </si>
  <si>
    <t>AppleInsider Apple Mac iPad iPhone CES CES 2024 CES 24 CES24 CES 2024 best of best CES 2024 smart home homekit matter apple home Thunderbolt Thunderbolt 5 review hands on Pepcom Pepcom 2024 Pepcom CES 2024 Scosche Abode Lockly OWC Anker Ecovacs Mophie Roborock Qi2 magsafe Aqara U300 Aqara m3 ESR Qi2 charger anker qi2 charger first look ecovacs X2 combo roborock s8 MaxV Ultra Lockly visage Meater 2 plus Alogix Matrix Matrix ultimate</t>
  </si>
  <si>
    <t>CNET Technology tech laptops ces 2024 Best Laptops Best Laptops of CES 2024</t>
  </si>
  <si>
    <t>artificial inteligence ai bleeding edge</t>
  </si>
  <si>
    <t>CES 2024 Preview</t>
  </si>
  <si>
    <t>LG Car LG Alphable CES2024 Best of CES LG World Premiere LG OLED OLED T Transparent OLED Transparent TV new car electric car autonomous driving technology</t>
  </si>
  <si>
    <t>AppleInsider Apple Mac iPad iPhone CES CES 2024 CES24 CES 2024 Unveiled Qi2 magasfe Apple dockkit belkin belkin auto track stand Thunderbolt 5 hyper Qi2 hyper thunderbolt 5 dock Govee Govee ai sync box 2 govee matter lights qi2 charger smart home vacuum robotic vacuum cleaner CES unveiled 2024 best of CES 2024 apple gear chargers UGreen NAS Invoxia invoxia minitailz xgimi imax enhanced projector review hands on mui board 2.0 Exobrew</t>
  </si>
  <si>
    <t>kitguru video technology news interviews reviews exclusive kitguru membership join kitguru CES 2024 leo waldock at CES kitguru at CES 2024 cooler master at CES 2024 Cooler master las vegas Sneaker X Bounce custom loop hardware TD500 max NR200P v2 NR200 TD500 Max N Core 100 Max Cube 500 Flatpak Masterloop Tempest GZ2711</t>
  </si>
  <si>
    <t>alexis garcia investor's business daily stocks stock market investing investment invest smarter investment tips stock list exclusive stocks investing data stock market research financial news business news stock market news investing trends stock investing investing in stocks stock trends stock market trends ibd ces ces 2024 consumer electronic show artificial intelligence auto mobility gary shapiro</t>
  </si>
  <si>
    <t>CES CEA</t>
  </si>
  <si>
    <t>Lenovo ces 2024 ThinkPad thinkpad x1 carbon Thinkpad X1 Carbon Gen 12 yoga 9i lenovo yoga pro 9i 16 lenovo yoga pro 9i Magie Bay</t>
  </si>
  <si>
    <t>rog gaming laptop rog intelligent cooling ces asus rog gaming laptops rtx 4090 rog nebula display rogphone8 rog phone rog phone 8 rog phone 8 pro rog monitor rog gpu gpu cpu zephyrus zephyrus g14 zephyrus g16</t>
  </si>
  <si>
    <t>engadget technology consumer tech gadgets science gear tech ces2024 ces ces 2024 recap LG</t>
  </si>
  <si>
    <t>8600g amd new amd cpus 8000 series ces 2024 cpu gpu 7600XT new pc parts at ces nvidia intel</t>
  </si>
  <si>
    <t>engadget technology consumer tech gadgets science gear tech</t>
  </si>
  <si>
    <t>Sony Sony CES Sony CES 2024 CES 2024 Sony CES press conference Afeela Afeela Car Sony Afeela Sony Afeela Car sony ces 2022 2024 Tech</t>
  </si>
  <si>
    <t>matic matic robot vacuum robot vaccum best robot vacuum matic robot demo matic robot demo ces 2024 ces ces 2024</t>
  </si>
  <si>
    <t>oled tvs 2024 best oled tvs 2024 2024 oled tvs best oled tv 2024 top oled tvs 2024 oled tv 2024 ces 2024 oled tv review 2024 lg oled tv 2024 top tv 2024 2024 tv technology 2024 tvs new model ces 2024 tv ces 2024 oled ces 2024 samsung ces 2024 sony ces 2024 lg ces 2024 preview tv news ces tv 2024 tcl ces 2024 ces 2024 hisense mini led ces big tvs 2024 roku tv ces ces 2024 news ces 2024 what to expect ces 2024 las vegas</t>
  </si>
  <si>
    <t>kitguru video technology news interviews reviews exclusive kitguru membership kitguirutech join kitguru ces 2024 ces corsair at ces 2024 2500x 6500x corsair 2500x corsair 6500x icue a115 air cooling corsair a115 rx120 RGB corsair RX120</t>
  </si>
  <si>
    <t>thermaltake tt reverse cable case motherboard with reverse power thermaltake sf fittings new thermaltake blocks cerese 300 reverse case tt sf fitting tt premium ggf cte 750 build cte e600 thermaltake tower 300 thermaltake tower 300 build tower 300 thermaltake ces 2024 thermaltake cte e600 custom thermaltake tower 300 tower 300 review tt tower 300 thermaltake matx case cte e600 mod build cte e600 build ggf cte e600 thermaltake hydrangea blue</t>
  </si>
  <si>
    <t>event livestream live 2022 CNET Highlights</t>
  </si>
  <si>
    <t>tcl tvs ces 2024 2024 tcl tcl 2024 tcl 2024 tv tcl 2024 tv models new 2024 tvs 2024 tvs new model 2024 new tv launch tcl s class tv 2024 tcl qm8 2024 tcl qm7 2024 tcl q6 tcl qm891g tcl 115 inch tv tcl 115 tv tcl 115QM891G ces 2024 ces 2024 tv ces 2024 tvs tcl q5 soundbar tcl q7 soundbar 2024 tcl soundbar tcl qm891gd tcl tv 115 inch tcl 2024 ces tcl tv lineup 2024 tvs ces 2024 tcl mini led tcl mini led qled tcl mini led 6 series</t>
  </si>
  <si>
    <t>aldryn estacio flytpath</t>
  </si>
  <si>
    <t>ces 2024 las vegas wearables smart home tech AI VR AR</t>
  </si>
  <si>
    <t>tech Samsung CES Consumer electronics show Las vegas 2024 Artificial intelligence AI Hyundai toothbrush</t>
  </si>
  <si>
    <t>2024 News The Washington Post WaPo Video Washington Post Video Washington Post YouTube a:technology cats ces ces2024 consumer electronics gadgets lg lotus ring s:Technology samsung skwheel smart home t:Original technology weird</t>
  </si>
  <si>
    <t>Honda Honda EVs Electric Vehicles EVs CES Carbon Neutrality Electrification</t>
  </si>
  <si>
    <t>CNET Technology tech ces tv samsung tcl hisense lg</t>
  </si>
  <si>
    <t>ces 2024 ces 2024 recap ces 2024 first day ces 2024 coolest tech coolest tech at ces 2024 cool tech at ces 2024 ces 2024 vlog ces vlog ces ces tech ces 2024 best tech coolest tech ces 2024 ces2024 tech ces 2024 panasonic lg innotek lg innotek ces 2024 ces 2024 honda ces 2024 honda sony afeela brelyon brelyon ces 2024 xreal glasses xreal ces 2024 ces 2024 xreal xreal air xreal brelyon monitor ces 2024 xreal air 2 ultra</t>
  </si>
  <si>
    <t>ces 2024 ces 2024 preview las vegas AIPER Scuba S1 Scuba S1 Pro Samsung LG transparent display QLED 8K Samsung OLED Micro-LED Las Vegas Sphere Samsung AI AI tech CES snowmobile scooter artificial intelligence transparent tv UGREEN smart home gadgets new tech ces ces tech ces 2024 laptops ces unveiled samsung first look smart home ces 2024 live las vegas 2024</t>
  </si>
  <si>
    <t>samsung music frame new samsung music frame samsung music frame ces 2024 ces samsung the frame samsung tv the verge tech</t>
  </si>
  <si>
    <t>ces 2024 asus expertbook laptop credit card laptop card reader ces asus 2024 2024 asus laptop asus 2024 asus 2024 ces credit card reader device credit card for laptop</t>
  </si>
  <si>
    <t>samsung folding phone concept ces 2024 foldable phone folding phone foldable phones folding phones ces 2024 samsung new tech ces new ces 2024 samsung first look samsung in and out flip samsung flip liple ces concepts future of phones future of foldable phones future phone design future of cell phones flip liple samsung display future</t>
  </si>
  <si>
    <t>xgimi ultimea ecoflow spectra humantouch</t>
  </si>
  <si>
    <t>uravgconsumer uac your average consumer LG LG CES 2024 ces 2024 LG bon voyage lg car lg alphable ces2024 best of ces lg oled oled t transparent oled technology transparent tv review tech unboxing best tech vs 2024</t>
  </si>
  <si>
    <t>Apple AppleInsider CES CES 2024 CES 24 CES24 CES 2024 gaming CES 2024 apple CES 24 highlights CES 2024 announcements Cricut Cricut joy extra airthings Clicks Clicks keyboard clicks creator keyboard handson hands on clicks creator keyboard case iphone accessories best of ces 2024 Mila air purifier sennheiser momentum sport review first look preview CES 2024 showstoppers showstoppers CES ces showstoppers</t>
  </si>
  <si>
    <t>ces 2024 ces 2024 gaming tech ces 2024 ps4 ces 2024 ps5 ces 2024 xbox ces 2024 pc gaming ces 2024 nvidia graphics ces 2024 amd graphics ces 2024 new laptops ces 2024 new monitors gameranx jake baldino ces 2024 mouse</t>
  </si>
  <si>
    <t>ces 2024 ces tech new tech ces ces unveiled ces 2024 laptops samsung first look ces 2024 first day ces 2024 vlog xreal ces 2024 ces 2024 highlights ces 2024 tv ces 2024 audio best tech ces best ces tech best ces tech hightlights ces highlights ces tech highlights best tech at ces ces day 2 ces day 2 highlights ces 2024 best tech ces 2024 new tech best tech ces 2024 max tech max tech ces max tech ces coverage ces coverage new ces 2024</t>
  </si>
  <si>
    <t>CES2024 Samsung and microsoft webcam collab Samsung booth ces Use samsung as webcam</t>
  </si>
  <si>
    <t>Linus LinusTechTips tech news Riley Murdock tech news Riley CES 2024 Consumer Electronics Show Samsung ASUS Lenovo folding phone transparent TV OLED microOLED weird tech Rabbit R1 Ballie robots Zenbook Duo ThinkBook AI</t>
  </si>
  <si>
    <t>ces consumer electronics show las vegas ai artificial intelligence swarovski optik bird binoculars flappie cat door cappella baby translator samsung ballie robot sag aftra voice ai agreement lg transparent tv ge smart indoor smoker perfecta ai powered grill elon musk twitter accounts banned steven monacelli trueanon ken klippenstein elon musk drugs spacex x app pivot to video tech news</t>
  </si>
  <si>
    <t>NVIDIA AI Gaming GPU</t>
  </si>
  <si>
    <t>Android tech high-tech smartphone technologie Frandroid test tests iOS tuto ASK samsung galaxy samsung galaxy fold z fold 4 z fold 5 z fold concept concept smartphone pliant écran pliant écran oled oled écran pc pliant ordinateur pliant écran déroulant écran enroulable samsung display innovation samsung flex flex samsung flip z flip 5 z fold 6 z flip 6</t>
  </si>
  <si>
    <t>samsung ces2024 ces 2024 2024 andro news samsung tv телевізори 2024 телевізори TV самсунг виставка CES CES</t>
  </si>
  <si>
    <t>CES CES 2024 Technology Consumer Technology Siemens</t>
  </si>
  <si>
    <t>samsung smart thing bespoke samsung samsung bespoke AI bespoke com IA linha bespoke samsung eletrodomésticos inteligentes geladeira inteligente lava e seca inteligente fogao inteligente tesla samsung tesla casa conectada robo aspirador inteligente robo aspirador com IA wind free samsung windfree</t>
  </si>
  <si>
    <t>huramobil huramobil.cz petr hudec harman harman kardon jbl petr hudec recenze ces 2024 ces unveiled samsung first look ces 2024 preview harman ces harman ces 2024 bmw audi harman concept infotainment 2024 infotainement smart car smart infotainement car audio audi infotainment system 2024 bmw concept chytra auta chytre auto elektroauto navigace v aute displej v aute</t>
  </si>
  <si>
    <t>canaltech canal tech tecnologia canal tec smartphone novidade inovação</t>
  </si>
  <si>
    <t>pc hardware hardware cpu how to build a pc pc gaming ram optimum tech best pc parts pc gaming pc gpu pc building how to build a computer best itx motherboards best itx coolers itx gaming pc best ryzen itx sff cpu cooler best pc parts of 2019 gaming gaming hardware setup gamer pc gamer gaming de pc pc economica pc barata tarjeta de video barata preguntas y respuestas amd ryzen ryzen 7950x 13900k 4090 rtx 4090 rtx 4060 ti rtx 4060</t>
  </si>
  <si>
    <t>evento ao vivo live tradução tradução simultânea português software conferência abertura anúncio anúncios tecmundo tecnologia em portugues lançamento produtos aparelhos vestível vestíveis IA android smartphone celular relógio smartwatch smartwatchs smartphones samsung tizen oneui bixby samsung developer conference sdc sdc 2023 sistema plataforma iot internet of thing internet das coisas smart home smarthome casa inteligente casa conectada mater ecossistema</t>
  </si>
  <si>
    <t>sony ces 2024 lg ces 2024 ces 2024 preview ces 2024 ces lg lg ces oled sony ces sony sony ces 2024 tv samsung ces samsung ces 2024 samsung computer expo computer expo 2024 ces laptop gaming laptop upcoming laptop best laptop best laptop for students lg gram pro lg gram lg gram 17 razer blade 2024 razer razer ces razer ces 2024 best gaming laptop best gaming laptop 2024 best budget gaming laptop lg laptops ces 2024 lg ces 2024 asus laptop</t>
  </si>
  <si>
    <t>Trakintech trakin Tech English lg ces 2024 sony ces 2024 ces 2024 preview tcl ces 2024 ces 2024 news samsung ces 2024 qd oled ces 2024 ces 2024 highlights miniled ces 2024 ces 2024 best tvs best tv of ces 2024 sony tv ces 2024 microled ces 2024 ces 2024 lg ces 2024 what to expect ces 2024 las vegas ces 2024 new tech engadget best ces ces las vegas best ces devices weirdest products in ces 2024</t>
  </si>
  <si>
    <t>CNET Technology tech Govee Govee LED lights Govee smart home Govee smart lighting Govee smart bulbs Govee smart strips Govee light strips Govee light bulbs Govee app Govee home automation Govee lighting control Govee color changing lights Govee RGB lights Govee ambient lighting Govee smart plugs Govee temperature monitor Govee humidity monitor Govee smart devices Govee smart technology Govee home security Govee home improvement</t>
  </si>
  <si>
    <t>soundguys headphones speakers audio sound sennheiser momentum accentum acentum sennheiser momentum true wireless 3 momentum true wireless 4 momentum sport sennheiser sport earbuds sennhesier sport</t>
  </si>
  <si>
    <t>playstation ps5 playstation 5 sony playstation news ps5 news playstation 5 news sony news gaming news video gaem news streamer ps5 updates sony ces ces 2024 playstation ces sony ces 2024 playstation show state of play playstation showcase sony showcase ps5 showcase stellar blade ps5 exclusives sony exclusives horizon horizon mmo upcoming ps5 games new ps5 games MBG</t>
  </si>
  <si>
    <t>GameSpot</t>
  </si>
  <si>
    <t>Stop the FOMO</t>
  </si>
  <si>
    <t>TechLinked</t>
  </si>
  <si>
    <t>iKnowReview</t>
  </si>
  <si>
    <t>Technikfaultier</t>
  </si>
  <si>
    <t>LG Display Global</t>
  </si>
  <si>
    <t>BFMTV</t>
  </si>
  <si>
    <t>LG Global</t>
  </si>
  <si>
    <t>AVForums</t>
  </si>
  <si>
    <t>Digital Trends</t>
  </si>
  <si>
    <t>Samsung</t>
  </si>
  <si>
    <t>Lon.TV</t>
  </si>
  <si>
    <t>ThinkComputers</t>
  </si>
  <si>
    <t>ROG Global</t>
  </si>
  <si>
    <t>Associated Press</t>
  </si>
  <si>
    <t>MacRumors</t>
  </si>
  <si>
    <t>CNET Highlights</t>
  </si>
  <si>
    <t>Brian Tong</t>
  </si>
  <si>
    <t>Nathan Espinoza</t>
  </si>
  <si>
    <t>mryeester</t>
  </si>
  <si>
    <t>오목교 전자상가</t>
  </si>
  <si>
    <t>CNET</t>
  </si>
  <si>
    <t>UNDERkg</t>
  </si>
  <si>
    <t>Engadget</t>
  </si>
  <si>
    <t>PCWorld</t>
  </si>
  <si>
    <t>AMD</t>
  </si>
  <si>
    <t>Paul's Hardware</t>
  </si>
  <si>
    <t>AppleInsider</t>
  </si>
  <si>
    <t>The Investor Channel</t>
  </si>
  <si>
    <t>Voice of America</t>
  </si>
  <si>
    <t>JerryRigEverything</t>
  </si>
  <si>
    <t>KitGuruTech</t>
  </si>
  <si>
    <t>Alexis Garcia</t>
  </si>
  <si>
    <t>CES</t>
  </si>
  <si>
    <t>Andrew Marc David</t>
  </si>
  <si>
    <t>Linus Tech Tips</t>
  </si>
  <si>
    <t>The Verge</t>
  </si>
  <si>
    <t>GGF Events</t>
  </si>
  <si>
    <t>FlytPath</t>
  </si>
  <si>
    <t>Joshua Chang</t>
  </si>
  <si>
    <t>CBS News</t>
  </si>
  <si>
    <t>Washington Post</t>
  </si>
  <si>
    <t>Honda</t>
  </si>
  <si>
    <t>CyberNews</t>
  </si>
  <si>
    <t>Max Tech</t>
  </si>
  <si>
    <t>B The Installer</t>
  </si>
  <si>
    <t>UrAvgConsumer</t>
  </si>
  <si>
    <t>TechLead</t>
  </si>
  <si>
    <t>gameranx</t>
  </si>
  <si>
    <t>Phone Repair Guru</t>
  </si>
  <si>
    <t>Internet Today</t>
  </si>
  <si>
    <t>Funhaus</t>
  </si>
  <si>
    <t>NVIDIA</t>
  </si>
  <si>
    <t>Frandroid</t>
  </si>
  <si>
    <t>Andro-news.com</t>
  </si>
  <si>
    <t>Mundo Conectado</t>
  </si>
  <si>
    <t>Mobilarena HU</t>
  </si>
  <si>
    <t>Huramobil [Petr Hudec]</t>
  </si>
  <si>
    <t>Canaltech</t>
  </si>
  <si>
    <t>Tortilla Squad</t>
  </si>
  <si>
    <t>TecMundo</t>
  </si>
  <si>
    <t>Techfluencer</t>
  </si>
  <si>
    <t>Trakin Tech English</t>
  </si>
  <si>
    <t>SoundGuys</t>
  </si>
  <si>
    <t>MBG</t>
  </si>
  <si>
    <t>2024-01-09T01:38:32Z</t>
  </si>
  <si>
    <t>2024-01-08T14:00:12Z</t>
  </si>
  <si>
    <t>2024-01-09T02:29:36Z</t>
  </si>
  <si>
    <t>2024-01-11T13:00:27Z</t>
  </si>
  <si>
    <t>2024-01-11T17:45:01Z</t>
  </si>
  <si>
    <t>2024-01-11T12:00:01Z</t>
  </si>
  <si>
    <t>2024-01-04T08:00:58Z</t>
  </si>
  <si>
    <t>2024-01-08T11:35:20Z</t>
  </si>
  <si>
    <t>2024-01-08T17:45:48Z</t>
  </si>
  <si>
    <t>2024-01-11T06:04:49Z</t>
  </si>
  <si>
    <t>2024-01-08T16:45:03Z</t>
  </si>
  <si>
    <t>2024-01-09T23:15:00Z</t>
  </si>
  <si>
    <t>2024-01-09T04:38:49Z</t>
  </si>
  <si>
    <t>2024-01-09T06:00:19Z</t>
  </si>
  <si>
    <t>2024-01-09T01:59:44Z</t>
  </si>
  <si>
    <t>2024-01-08T06:59:52Z</t>
  </si>
  <si>
    <t>2024-01-09T00:22:25Z</t>
  </si>
  <si>
    <t>2024-01-08T23:35:14Z</t>
  </si>
  <si>
    <t>2024-01-09T18:19:38Z</t>
  </si>
  <si>
    <t>2024-01-08T23:25:46Z</t>
  </si>
  <si>
    <t>2024-01-09T07:23:45Z</t>
  </si>
  <si>
    <t>2024-01-05T18:11:49Z</t>
  </si>
  <si>
    <t>2024-01-09T23:34:48Z</t>
  </si>
  <si>
    <t>2024-01-09T06:08:15Z</t>
  </si>
  <si>
    <t>2024-01-11T13:49:54Z</t>
  </si>
  <si>
    <t>2024-01-09T19:19:20Z</t>
  </si>
  <si>
    <t>2024-01-11T10:36:17Z</t>
  </si>
  <si>
    <t>2024-01-08T18:09:36Z</t>
  </si>
  <si>
    <t>2024-01-08T17:04:00Z</t>
  </si>
  <si>
    <t>2024-01-08T17:20:14Z</t>
  </si>
  <si>
    <t>2024-01-08T15:00:10Z</t>
  </si>
  <si>
    <t>2024-01-08T18:30:57Z</t>
  </si>
  <si>
    <t>2024-01-08T15:30:15Z</t>
  </si>
  <si>
    <t>2024-01-09T01:48:54Z</t>
  </si>
  <si>
    <t>2024-01-09T18:12:04Z</t>
  </si>
  <si>
    <t>2024-01-09T10:23:10Z</t>
  </si>
  <si>
    <t>2024-01-11T03:37:47Z</t>
  </si>
  <si>
    <t>2024-01-05T14:25:17Z</t>
  </si>
  <si>
    <t>2024-01-09T00:12:16Z</t>
  </si>
  <si>
    <t>2024-01-08T22:56:27Z</t>
  </si>
  <si>
    <t>2024-01-08T16:57:29Z</t>
  </si>
  <si>
    <t>2024-01-05T13:53:33Z</t>
  </si>
  <si>
    <t>2024-01-10T05:14:30Z</t>
  </si>
  <si>
    <t>2024-01-09T19:07:53Z</t>
  </si>
  <si>
    <t>2024-01-08T09:58:10Z</t>
  </si>
  <si>
    <t>2024-01-11T12:37:39Z</t>
  </si>
  <si>
    <t>2023-12-13T19:04:22Z</t>
  </si>
  <si>
    <t>2023-12-28T14:26:14Z</t>
  </si>
  <si>
    <t>2024-01-08T23:00:02Z</t>
  </si>
  <si>
    <t>2024-01-09T01:03:45Z</t>
  </si>
  <si>
    <t>2024-01-09T03:33:52Z</t>
  </si>
  <si>
    <t>2024-01-11T01:32:36Z</t>
  </si>
  <si>
    <t>2024-01-10T03:32:42Z</t>
  </si>
  <si>
    <t>2024-01-09T02:16:08Z</t>
  </si>
  <si>
    <t>2024-01-08T02:02:40Z</t>
  </si>
  <si>
    <t>2024-01-08T06:47:53Z</t>
  </si>
  <si>
    <t>2024-01-03T15:45:00Z</t>
  </si>
  <si>
    <t>2024-01-11T17:11:00Z</t>
  </si>
  <si>
    <t>2024-01-09T14:00:46Z</t>
  </si>
  <si>
    <t>2024-01-08T17:38:54Z</t>
  </si>
  <si>
    <t>2024-01-10T18:19:59Z</t>
  </si>
  <si>
    <t>2024-01-09T17:27:22Z</t>
  </si>
  <si>
    <t>2024-01-08T23:20:24Z</t>
  </si>
  <si>
    <t>2024-01-10T11:00:10Z</t>
  </si>
  <si>
    <t>2024-01-09T19:08:50Z</t>
  </si>
  <si>
    <t>2024-01-09T21:29:50Z</t>
  </si>
  <si>
    <t>2023-12-06T17:00:26Z</t>
  </si>
  <si>
    <t>2024-01-11T13:00:14Z</t>
  </si>
  <si>
    <t>2024-01-10T16:24:13Z</t>
  </si>
  <si>
    <t>2024-01-10T07:55:08Z</t>
  </si>
  <si>
    <t>2024-01-08T15:00:08Z</t>
  </si>
  <si>
    <t>2024-01-09T21:23:50Z</t>
  </si>
  <si>
    <t>2024-01-10T12:30:36Z</t>
  </si>
  <si>
    <t>2024-01-11T15:54:23Z</t>
  </si>
  <si>
    <t>2024-01-10T19:25:27Z</t>
  </si>
  <si>
    <t>2024-01-10T19:23:20Z</t>
  </si>
  <si>
    <t>2024-01-10T21:40:24Z</t>
  </si>
  <si>
    <t>2024-01-10T16:00:10Z</t>
  </si>
  <si>
    <t>2024-01-11T15:00:50Z</t>
  </si>
  <si>
    <t>2024-01-11T02:27:58Z</t>
  </si>
  <si>
    <t>2024-01-11T03:49:14Z</t>
  </si>
  <si>
    <t>2024-01-11T08:48:10Z</t>
  </si>
  <si>
    <t>2024-01-11T19:06:58Z</t>
  </si>
  <si>
    <t>2024-01-08T16:33:23Z</t>
  </si>
  <si>
    <t>2024-01-11T17:14:45Z</t>
  </si>
  <si>
    <t>2024-01-10T14:57:21Z</t>
  </si>
  <si>
    <t>2024-01-09T03:36:15Z</t>
  </si>
  <si>
    <t>2024-01-10T21:00:33Z</t>
  </si>
  <si>
    <t>2024-01-10T10:40:08Z</t>
  </si>
  <si>
    <t>2024-01-10T17:33:33Z</t>
  </si>
  <si>
    <t>2024-01-10T15:30:11Z</t>
  </si>
  <si>
    <t>2024-01-08T19:14:45Z</t>
  </si>
  <si>
    <t>2024-01-09T01:56:19Z</t>
  </si>
  <si>
    <t>2024-01-08T13:30:00Z</t>
  </si>
  <si>
    <t>2024-01-11T05:30:05Z</t>
  </si>
  <si>
    <t>2024-01-11T23:39:52Z</t>
  </si>
  <si>
    <t>2024-01-09T03:42:26Z</t>
  </si>
  <si>
    <t>2023-12-29T16:30:01Z</t>
  </si>
  <si>
    <t>Play Video in Browser</t>
  </si>
  <si>
    <t>rFont" serializeAs="String"&gt;
        &lt;value&gt;Microsoft Sans Serif, 27.75pt&lt;/value&gt;
      &lt;/setting&gt;
      &lt;setting name="HeaderText" serializeAs="String"&gt;
        &lt;value&gt;Social media network connections among Twitter users&lt;/value&gt;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</si>
  <si>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</si>
  <si>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</si>
  <si>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</si>
  <si>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</si>
  <si>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</si>
  <si>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</si>
  <si>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</si>
  <si>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</si>
  <si>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</si>
  <si>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</si>
  <si>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</si>
  <si>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</si>
  <si>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</si>
  <si>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</si>
  <si>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</si>
  <si>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</si>
  <si>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</si>
  <si>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</si>
  <si>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</si>
  <si>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</si>
  <si>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</si>
  <si>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</si>
  <si>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</si>
  <si>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</si>
  <si>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</si>
  <si>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</si>
  <si>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</si>
  <si>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</si>
  <si>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</si>
  <si>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</si>
  <si>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ces</t>
  </si>
  <si>
    <t>2024</t>
  </si>
  <si>
    <t>follow</t>
  </si>
  <si>
    <t>new</t>
  </si>
  <si>
    <t>more</t>
  </si>
  <si>
    <t>00</t>
  </si>
  <si>
    <t>s</t>
  </si>
  <si>
    <t>samsung</t>
  </si>
  <si>
    <t>subscribe</t>
  </si>
  <si>
    <t>twitter</t>
  </si>
  <si>
    <t>oled</t>
  </si>
  <si>
    <t>instagram</t>
  </si>
  <si>
    <t>facebook</t>
  </si>
  <si>
    <t>out</t>
  </si>
  <si>
    <t>de</t>
  </si>
  <si>
    <t>lg</t>
  </si>
  <si>
    <t>news</t>
  </si>
  <si>
    <t>video</t>
  </si>
  <si>
    <t>cnet</t>
  </si>
  <si>
    <t>links</t>
  </si>
  <si>
    <t>#ces2024</t>
  </si>
  <si>
    <t>check</t>
  </si>
  <si>
    <t>amazon</t>
  </si>
  <si>
    <t>channel</t>
  </si>
  <si>
    <t>2</t>
  </si>
  <si>
    <t>tech</t>
  </si>
  <si>
    <t>0</t>
  </si>
  <si>
    <t>tiktok</t>
  </si>
  <si>
    <t>5</t>
  </si>
  <si>
    <t>videos</t>
  </si>
  <si>
    <t>tv</t>
  </si>
  <si>
    <t>pro</t>
  </si>
  <si>
    <t>apple</t>
  </si>
  <si>
    <t>here</t>
  </si>
  <si>
    <t>ai</t>
  </si>
  <si>
    <t>gaming</t>
  </si>
  <si>
    <t>products</t>
  </si>
  <si>
    <t>affiliate</t>
  </si>
  <si>
    <t>3</t>
  </si>
  <si>
    <t>com</t>
  </si>
  <si>
    <t>01</t>
  </si>
  <si>
    <t>youtube</t>
  </si>
  <si>
    <t>smart</t>
  </si>
  <si>
    <t>see</t>
  </si>
  <si>
    <t>intro</t>
  </si>
  <si>
    <t>02</t>
  </si>
  <si>
    <t>amd</t>
  </si>
  <si>
    <t>04</t>
  </si>
  <si>
    <t>support</t>
  </si>
  <si>
    <t>iphone</t>
  </si>
  <si>
    <t>10</t>
  </si>
  <si>
    <t>sony</t>
  </si>
  <si>
    <t>4</t>
  </si>
  <si>
    <t>03</t>
  </si>
  <si>
    <t>show</t>
  </si>
  <si>
    <t>7</t>
  </si>
  <si>
    <t>t</t>
  </si>
  <si>
    <t>content</t>
  </si>
  <si>
    <t>read</t>
  </si>
  <si>
    <t>asus</t>
  </si>
  <si>
    <t>transparent</t>
  </si>
  <si>
    <t>first</t>
  </si>
  <si>
    <t>latest</t>
  </si>
  <si>
    <t>max</t>
  </si>
  <si>
    <t>rog</t>
  </si>
  <si>
    <t>tcl</t>
  </si>
  <si>
    <t>tvs</t>
  </si>
  <si>
    <t>year</t>
  </si>
  <si>
    <t>help</t>
  </si>
  <si>
    <t>digital</t>
  </si>
  <si>
    <t>commission</t>
  </si>
  <si>
    <t>make</t>
  </si>
  <si>
    <t>15</t>
  </si>
  <si>
    <t>visit</t>
  </si>
  <si>
    <t>series</t>
  </si>
  <si>
    <t>never</t>
  </si>
  <si>
    <t>14</t>
  </si>
  <si>
    <t>coverage</t>
  </si>
  <si>
    <t>website</t>
  </si>
  <si>
    <t>including</t>
  </si>
  <si>
    <t>e</t>
  </si>
  <si>
    <t>#ces</t>
  </si>
  <si>
    <t>below</t>
  </si>
  <si>
    <t>music</t>
  </si>
  <si>
    <t>display</t>
  </si>
  <si>
    <t>galaxy</t>
  </si>
  <si>
    <t>miss</t>
  </si>
  <si>
    <t>look</t>
  </si>
  <si>
    <t>partners</t>
  </si>
  <si>
    <t>vegas</t>
  </si>
  <si>
    <t>merch</t>
  </si>
  <si>
    <t>please</t>
  </si>
  <si>
    <t>earn</t>
  </si>
  <si>
    <t>deal</t>
  </si>
  <si>
    <t>1</t>
  </si>
  <si>
    <t>8</t>
  </si>
  <si>
    <t>buy</t>
  </si>
  <si>
    <t>extension</t>
  </si>
  <si>
    <t>through</t>
  </si>
  <si>
    <t>again</t>
  </si>
  <si>
    <t>browser</t>
  </si>
  <si>
    <t>podcast</t>
  </si>
  <si>
    <t>las</t>
  </si>
  <si>
    <t>13</t>
  </si>
  <si>
    <t>gear</t>
  </si>
  <si>
    <t>wireless</t>
  </si>
  <si>
    <t>plus</t>
  </si>
  <si>
    <t>advertising</t>
  </si>
  <si>
    <t>use</t>
  </si>
  <si>
    <t>home</t>
  </si>
  <si>
    <t>product</t>
  </si>
  <si>
    <t>inch</t>
  </si>
  <si>
    <t>technology</t>
  </si>
  <si>
    <t>ryzen</t>
  </si>
  <si>
    <t>07</t>
  </si>
  <si>
    <t>12</t>
  </si>
  <si>
    <t>join</t>
  </si>
  <si>
    <t>lineup</t>
  </si>
  <si>
    <t>storefront</t>
  </si>
  <si>
    <t>monitors</t>
  </si>
  <si>
    <t>number</t>
  </si>
  <si>
    <t>05</t>
  </si>
  <si>
    <t>ultra</t>
  </si>
  <si>
    <t>best</t>
  </si>
  <si>
    <t>40</t>
  </si>
  <si>
    <t>cbs</t>
  </si>
  <si>
    <t>24</t>
  </si>
  <si>
    <t>auf</t>
  </si>
  <si>
    <t>røde</t>
  </si>
  <si>
    <t>top</t>
  </si>
  <si>
    <t>media</t>
  </si>
  <si>
    <t>phone</t>
  </si>
  <si>
    <t>55</t>
  </si>
  <si>
    <t>program</t>
  </si>
  <si>
    <t>trends</t>
  </si>
  <si>
    <t>technikfaultier</t>
  </si>
  <si>
    <t>000</t>
  </si>
  <si>
    <t>around</t>
  </si>
  <si>
    <t>06</t>
  </si>
  <si>
    <t>6</t>
  </si>
  <si>
    <t>social</t>
  </si>
  <si>
    <t>www</t>
  </si>
  <si>
    <t>channels</t>
  </si>
  <si>
    <t>thanks</t>
  </si>
  <si>
    <t>consumer</t>
  </si>
  <si>
    <t>magsafe</t>
  </si>
  <si>
    <t>shop</t>
  </si>
  <si>
    <t>want</t>
  </si>
  <si>
    <t>chapters</t>
  </si>
  <si>
    <t>free</t>
  </si>
  <si>
    <t>link</t>
  </si>
  <si>
    <t>appleinsider</t>
  </si>
  <si>
    <t>signature</t>
  </si>
  <si>
    <t>#technology</t>
  </si>
  <si>
    <t>08</t>
  </si>
  <si>
    <t>audio</t>
  </si>
  <si>
    <t>time</t>
  </si>
  <si>
    <t>future</t>
  </si>
  <si>
    <t>share</t>
  </si>
  <si>
    <t>9</t>
  </si>
  <si>
    <t>well</t>
  </si>
  <si>
    <t>sennheiser</t>
  </si>
  <si>
    <t>air</t>
  </si>
  <si>
    <t>nit</t>
  </si>
  <si>
    <t>na</t>
  </si>
  <si>
    <t>discord</t>
  </si>
  <si>
    <t>world</t>
  </si>
  <si>
    <t>monitor</t>
  </si>
  <si>
    <t>engadget</t>
  </si>
  <si>
    <t>learn</t>
  </si>
  <si>
    <t>led</t>
  </si>
  <si>
    <t>each</t>
  </si>
  <si>
    <t>studio</t>
  </si>
  <si>
    <t>echo</t>
  </si>
  <si>
    <t>및</t>
  </si>
  <si>
    <t>kabum</t>
  </si>
  <si>
    <t>17</t>
  </si>
  <si>
    <t>50</t>
  </si>
  <si>
    <t>30</t>
  </si>
  <si>
    <t>laptops</t>
  </si>
  <si>
    <t>32</t>
  </si>
  <si>
    <t>timestamps</t>
  </si>
  <si>
    <t>mobilů</t>
  </si>
  <si>
    <t>everything</t>
  </si>
  <si>
    <t>code</t>
  </si>
  <si>
    <t>49</t>
  </si>
  <si>
    <t>qi2</t>
  </si>
  <si>
    <t>razer</t>
  </si>
  <si>
    <t>para</t>
  </si>
  <si>
    <t>case</t>
  </si>
  <si>
    <t>event</t>
  </si>
  <si>
    <t>day</t>
  </si>
  <si>
    <t>voa</t>
  </si>
  <si>
    <t>11</t>
  </si>
  <si>
    <t>#digitaltrends</t>
  </si>
  <si>
    <t>honda</t>
  </si>
  <si>
    <t>screen</t>
  </si>
  <si>
    <t>43</t>
  </si>
  <si>
    <t>laptop</t>
  </si>
  <si>
    <t>purchase</t>
  </si>
  <si>
    <t>dji</t>
  </si>
  <si>
    <t>57</t>
  </si>
  <si>
    <t>37</t>
  </si>
  <si>
    <t>256</t>
  </si>
  <si>
    <t>means</t>
  </si>
  <si>
    <t>512gb</t>
  </si>
  <si>
    <t>und</t>
  </si>
  <si>
    <t>connect</t>
  </si>
  <si>
    <t>https</t>
  </si>
  <si>
    <t>partnership</t>
  </si>
  <si>
    <t>28</t>
  </si>
  <si>
    <t>stand</t>
  </si>
  <si>
    <t>even</t>
  </si>
  <si>
    <t>mini</t>
  </si>
  <si>
    <t>watch</t>
  </si>
  <si>
    <t>16</t>
  </si>
  <si>
    <t>b</t>
  </si>
  <si>
    <t>o</t>
  </si>
  <si>
    <t>h</t>
  </si>
  <si>
    <t>z</t>
  </si>
  <si>
    <t>verge</t>
  </si>
  <si>
    <t>comment</t>
  </si>
  <si>
    <t>love</t>
  </si>
  <si>
    <t>s23</t>
  </si>
  <si>
    <t>rode</t>
  </si>
  <si>
    <t>chargers</t>
  </si>
  <si>
    <t>mic</t>
  </si>
  <si>
    <t>ar</t>
  </si>
  <si>
    <t>canal</t>
  </si>
  <si>
    <t>thank</t>
  </si>
  <si>
    <t>chips</t>
  </si>
  <si>
    <t>twitch</t>
  </si>
  <si>
    <t>anything</t>
  </si>
  <si>
    <t>devices</t>
  </si>
  <si>
    <t>community</t>
  </si>
  <si>
    <t>super</t>
  </si>
  <si>
    <t>kč</t>
  </si>
  <si>
    <t>made</t>
  </si>
  <si>
    <t>electric</t>
  </si>
  <si>
    <t>sure</t>
  </si>
  <si>
    <t>tower</t>
  </si>
  <si>
    <t>up</t>
  </si>
  <si>
    <t>#samsung</t>
  </si>
  <si>
    <t>31</t>
  </si>
  <si>
    <t>participant</t>
  </si>
  <si>
    <t>#tech</t>
  </si>
  <si>
    <t>store</t>
  </si>
  <si>
    <t>global</t>
  </si>
  <si>
    <t>designed</t>
  </si>
  <si>
    <t>official</t>
  </si>
  <si>
    <t>der</t>
  </si>
  <si>
    <t>45</t>
  </si>
  <si>
    <t>65</t>
  </si>
  <si>
    <t>ceo</t>
  </si>
  <si>
    <t>en</t>
  </si>
  <si>
    <t>today</t>
  </si>
  <si>
    <t>cooler</t>
  </si>
  <si>
    <t>vergecast</t>
  </si>
  <si>
    <t>high</t>
  </si>
  <si>
    <t>electronics</t>
  </si>
  <si>
    <t>47</t>
  </si>
  <si>
    <t>hisense</t>
  </si>
  <si>
    <t>qd</t>
  </si>
  <si>
    <t>shows</t>
  </si>
  <si>
    <t>download</t>
  </si>
  <si>
    <t>concept</t>
  </si>
  <si>
    <t>rtx</t>
  </si>
  <si>
    <t>conference</t>
  </si>
  <si>
    <t>20</t>
  </si>
  <si>
    <t>airpods</t>
  </si>
  <si>
    <t>#lg</t>
  </si>
  <si>
    <t>coming</t>
  </si>
  <si>
    <t>policy</t>
  </si>
  <si>
    <t>nvidia</t>
  </si>
  <si>
    <t>nuestro</t>
  </si>
  <si>
    <t>#oled</t>
  </si>
  <si>
    <t>llc</t>
  </si>
  <si>
    <t>announcements</t>
  </si>
  <si>
    <t>licensing</t>
  </si>
  <si>
    <t>56</t>
  </si>
  <si>
    <t>46</t>
  </si>
  <si>
    <t>continue</t>
  </si>
  <si>
    <t>y</t>
  </si>
  <si>
    <t>4k</t>
  </si>
  <si>
    <t>grow</t>
  </si>
  <si>
    <t>keyboard</t>
  </si>
  <si>
    <t>floorstanding</t>
  </si>
  <si>
    <t>wallpapers</t>
  </si>
  <si>
    <t>we've</t>
  </si>
  <si>
    <t>nerds</t>
  </si>
  <si>
    <t>s22</t>
  </si>
  <si>
    <t>die</t>
  </si>
  <si>
    <t>rx</t>
  </si>
  <si>
    <t>watching</t>
  </si>
  <si>
    <t>59</t>
  </si>
  <si>
    <t>19</t>
  </si>
  <si>
    <t>09</t>
  </si>
  <si>
    <t>39</t>
  </si>
  <si>
    <t>29</t>
  </si>
  <si>
    <t>mit</t>
  </si>
  <si>
    <t>big</t>
  </si>
  <si>
    <t>go</t>
  </si>
  <si>
    <t>things</t>
  </si>
  <si>
    <t>da</t>
  </si>
  <si>
    <t>artlist</t>
  </si>
  <si>
    <t>think</t>
  </si>
  <si>
    <t>blog</t>
  </si>
  <si>
    <t>need</t>
  </si>
  <si>
    <t>pc</t>
  </si>
  <si>
    <t>reserve</t>
  </si>
  <si>
    <t>checking</t>
  </si>
  <si>
    <t>exclusive</t>
  </si>
  <si>
    <t>lock</t>
  </si>
  <si>
    <t>speakers</t>
  </si>
  <si>
    <t>behind</t>
  </si>
  <si>
    <t>car</t>
  </si>
  <si>
    <t>availble</t>
  </si>
  <si>
    <t>mobility</t>
  </si>
  <si>
    <t>polk</t>
  </si>
  <si>
    <t>treatment</t>
  </si>
  <si>
    <t>pair</t>
  </si>
  <si>
    <t>acoustic</t>
  </si>
  <si>
    <t>press</t>
  </si>
  <si>
    <t>president</t>
  </si>
  <si>
    <t>r600</t>
  </si>
  <si>
    <t>review</t>
  </si>
  <si>
    <t>bespoke</t>
  </si>
  <si>
    <t>matched</t>
  </si>
  <si>
    <t>vision</t>
  </si>
  <si>
    <t>announced</t>
  </si>
  <si>
    <t>source</t>
  </si>
  <si>
    <t>breaking</t>
  </si>
  <si>
    <t>rgb</t>
  </si>
  <si>
    <t>interesting</t>
  </si>
  <si>
    <t>built</t>
  </si>
  <si>
    <t>lights</t>
  </si>
  <si>
    <t>better</t>
  </si>
  <si>
    <t>elements</t>
  </si>
  <si>
    <t>full</t>
  </si>
  <si>
    <t>flex</t>
  </si>
  <si>
    <t>nt5</t>
  </si>
  <si>
    <t>integral</t>
  </si>
  <si>
    <t>console</t>
  </si>
  <si>
    <t>one</t>
  </si>
  <si>
    <t>scenes</t>
  </si>
  <si>
    <t>listed</t>
  </si>
  <si>
    <t>provide</t>
  </si>
  <si>
    <t>odyssey</t>
  </si>
  <si>
    <t>much</t>
  </si>
  <si>
    <t>give</t>
  </si>
  <si>
    <t>live</t>
  </si>
  <si>
    <t>helping</t>
  </si>
  <si>
    <t>128gb</t>
  </si>
  <si>
    <t>52</t>
  </si>
  <si>
    <t>500</t>
  </si>
  <si>
    <t>54</t>
  </si>
  <si>
    <t>bdi</t>
  </si>
  <si>
    <t>used</t>
  </si>
  <si>
    <t>comments</t>
  </si>
  <si>
    <t>tools</t>
  </si>
  <si>
    <t>innovations</t>
  </si>
  <si>
    <t>msi</t>
  </si>
  <si>
    <t>associates</t>
  </si>
  <si>
    <t>128</t>
  </si>
  <si>
    <t>à</t>
  </si>
  <si>
    <t>36</t>
  </si>
  <si>
    <t>million</t>
  </si>
  <si>
    <t>member</t>
  </si>
  <si>
    <t>produtos</t>
  </si>
  <si>
    <t>talk</t>
  </si>
  <si>
    <t>frame</t>
  </si>
  <si>
    <t>stay</t>
  </si>
  <si>
    <t>sponsored</t>
  </si>
  <si>
    <t>here's</t>
  </si>
  <si>
    <t>come</t>
  </si>
  <si>
    <t>note</t>
  </si>
  <si>
    <t>5700x3d</t>
  </si>
  <si>
    <t>welcome</t>
  </si>
  <si>
    <t>ein</t>
  </si>
  <si>
    <t>spatial</t>
  </si>
  <si>
    <t>robot</t>
  </si>
  <si>
    <t>vr</t>
  </si>
  <si>
    <t>largest</t>
  </si>
  <si>
    <t>discount</t>
  </si>
  <si>
    <t>ballie</t>
  </si>
  <si>
    <t>epidemic</t>
  </si>
  <si>
    <t>interview</t>
  </si>
  <si>
    <t>giant</t>
  </si>
  <si>
    <t>sponsors</t>
  </si>
  <si>
    <t>einen</t>
  </si>
  <si>
    <t>great</t>
  </si>
  <si>
    <t>momentum</t>
  </si>
  <si>
    <t>sources</t>
  </si>
  <si>
    <t>brands</t>
  </si>
  <si>
    <t>features</t>
  </si>
  <si>
    <t>fees</t>
  </si>
  <si>
    <t>7600</t>
  </si>
  <si>
    <t>network</t>
  </si>
  <si>
    <t>covered</t>
  </si>
  <si>
    <t>purchases</t>
  </si>
  <si>
    <t>box</t>
  </si>
  <si>
    <t>click</t>
  </si>
  <si>
    <t>ios</t>
  </si>
  <si>
    <t>second</t>
  </si>
  <si>
    <t>21</t>
  </si>
  <si>
    <t>saw</t>
  </si>
  <si>
    <t>battery</t>
  </si>
  <si>
    <t>seasonic</t>
  </si>
  <si>
    <t>camera</t>
  </si>
  <si>
    <t>google</t>
  </si>
  <si>
    <t>radeon</t>
  </si>
  <si>
    <t>headset</t>
  </si>
  <si>
    <t>des</t>
  </si>
  <si>
    <t>115</t>
  </si>
  <si>
    <t>repair</t>
  </si>
  <si>
    <t>xt</t>
  </si>
  <si>
    <t>35</t>
  </si>
  <si>
    <t>shirts</t>
  </si>
  <si>
    <t>un</t>
  </si>
  <si>
    <t>services</t>
  </si>
  <si>
    <t>intel</t>
  </si>
  <si>
    <t>für</t>
  </si>
  <si>
    <t>updates</t>
  </si>
  <si>
    <t>credit</t>
  </si>
  <si>
    <t>available</t>
  </si>
  <si>
    <t>app</t>
  </si>
  <si>
    <t>gpu</t>
  </si>
  <si>
    <t>brightness</t>
  </si>
  <si>
    <t>27</t>
  </si>
  <si>
    <t>power</t>
  </si>
  <si>
    <t>1tb</t>
  </si>
  <si>
    <t>outro</t>
  </si>
  <si>
    <t>ahead</t>
  </si>
  <si>
    <t>small</t>
  </si>
  <si>
    <t>earbuds</t>
  </si>
  <si>
    <t>models</t>
  </si>
  <si>
    <t>afeela</t>
  </si>
  <si>
    <t>playstation</t>
  </si>
  <si>
    <t>matter</t>
  </si>
  <si>
    <t>heat</t>
  </si>
  <si>
    <t>combo</t>
  </si>
  <si>
    <t>many</t>
  </si>
  <si>
    <t>meta</t>
  </si>
  <si>
    <t>preview</t>
  </si>
  <si>
    <t>related</t>
  </si>
  <si>
    <t>january</t>
  </si>
  <si>
    <t>es</t>
  </si>
  <si>
    <t>fans</t>
  </si>
  <si>
    <t>sites</t>
  </si>
  <si>
    <t>solutions</t>
  </si>
  <si>
    <t>sound</t>
  </si>
  <si>
    <t>du</t>
  </si>
  <si>
    <t>제품</t>
  </si>
  <si>
    <t>belkin</t>
  </si>
  <si>
    <t>nosso</t>
  </si>
  <si>
    <t>linking</t>
  </si>
  <si>
    <t>line</t>
  </si>
  <si>
    <t>unveils</t>
  </si>
  <si>
    <t>18</t>
  </si>
  <si>
    <t>38</t>
  </si>
  <si>
    <t>extra</t>
  </si>
  <si>
    <t>streaming</t>
  </si>
  <si>
    <t>elon</t>
  </si>
  <si>
    <t>over</t>
  </si>
  <si>
    <t>quick</t>
  </si>
  <si>
    <t>100</t>
  </si>
  <si>
    <t>group</t>
  </si>
  <si>
    <t>brand</t>
  </si>
  <si>
    <t>telegram</t>
  </si>
  <si>
    <t>patreon</t>
  </si>
  <si>
    <t>vous</t>
  </si>
  <si>
    <t>dell</t>
  </si>
  <si>
    <t>description</t>
  </si>
  <si>
    <t>않나</t>
  </si>
  <si>
    <t>mla</t>
  </si>
  <si>
    <t>android</t>
  </si>
  <si>
    <t>newsroom</t>
  </si>
  <si>
    <t>lenovo</t>
  </si>
  <si>
    <t>podcasts</t>
  </si>
  <si>
    <t>copyright</t>
  </si>
  <si>
    <t>26</t>
  </si>
  <si>
    <t>c</t>
  </si>
  <si>
    <t>x</t>
  </si>
  <si>
    <t>hub</t>
  </si>
  <si>
    <t>charger</t>
  </si>
  <si>
    <t>kindle</t>
  </si>
  <si>
    <t>daily</t>
  </si>
  <si>
    <t>something</t>
  </si>
  <si>
    <t>8000g</t>
  </si>
  <si>
    <t>controller</t>
  </si>
  <si>
    <t>coolest</t>
  </si>
  <si>
    <t>projector</t>
  </si>
  <si>
    <t>einkauf</t>
  </si>
  <si>
    <t>decoder</t>
  </si>
  <si>
    <t>favorite</t>
  </si>
  <si>
    <t>contact</t>
  </si>
  <si>
    <t>streams</t>
  </si>
  <si>
    <t>cover</t>
  </si>
  <si>
    <t>ethics</t>
  </si>
  <si>
    <t>grab</t>
  </si>
  <si>
    <t>2023</t>
  </si>
  <si>
    <t>intel's</t>
  </si>
  <si>
    <t>listen</t>
  </si>
  <si>
    <t>ex</t>
  </si>
  <si>
    <t>know</t>
  </si>
  <si>
    <t>entertainment</t>
  </si>
  <si>
    <t>artificial</t>
  </si>
  <si>
    <t>dr</t>
  </si>
  <si>
    <t>via</t>
  </si>
  <si>
    <t>wie</t>
  </si>
  <si>
    <t>little</t>
  </si>
  <si>
    <t>la</t>
  </si>
  <si>
    <t>ipads</t>
  </si>
  <si>
    <t>linkedin</t>
  </si>
  <si>
    <t>consider</t>
  </si>
  <si>
    <t>cost</t>
  </si>
  <si>
    <t>powerful</t>
  </si>
  <si>
    <t>8500g</t>
  </si>
  <si>
    <t>association</t>
  </si>
  <si>
    <t>clicks</t>
  </si>
  <si>
    <t>tracking</t>
  </si>
  <si>
    <t>receive</t>
  </si>
  <si>
    <t>am4</t>
  </si>
  <si>
    <t>am5</t>
  </si>
  <si>
    <t>8700g</t>
  </si>
  <si>
    <t>release</t>
  </si>
  <si>
    <t>andro</t>
  </si>
  <si>
    <t>withings</t>
  </si>
  <si>
    <t>questions</t>
  </si>
  <si>
    <t>sponsoring</t>
  </si>
  <si>
    <t>cc</t>
  </si>
  <si>
    <t>processors</t>
  </si>
  <si>
    <t>space</t>
  </si>
  <si>
    <t>forget</t>
  </si>
  <si>
    <t>date</t>
  </si>
  <si>
    <t>showcasing</t>
  </si>
  <si>
    <t>information</t>
  </si>
  <si>
    <t>lâmpada</t>
  </si>
  <si>
    <t>ge</t>
  </si>
  <si>
    <t>button</t>
  </si>
  <si>
    <t>se</t>
  </si>
  <si>
    <t>smoker</t>
  </si>
  <si>
    <t>xgimi</t>
  </si>
  <si>
    <t>qianli</t>
  </si>
  <si>
    <t>#hometheater</t>
  </si>
  <si>
    <t>huge</t>
  </si>
  <si>
    <t>lon</t>
  </si>
  <si>
    <t>lot</t>
  </si>
  <si>
    <t>둘러보기</t>
  </si>
  <si>
    <t>nos</t>
  </si>
  <si>
    <t>por</t>
  </si>
  <si>
    <t>shot</t>
  </si>
  <si>
    <t>51</t>
  </si>
  <si>
    <t>already</t>
  </si>
  <si>
    <t>jan</t>
  </si>
  <si>
    <t>membership</t>
  </si>
  <si>
    <t>viel</t>
  </si>
  <si>
    <t>lg's</t>
  </si>
  <si>
    <t>ecoflow</t>
  </si>
  <si>
    <t>war</t>
  </si>
  <si>
    <t>macbooks</t>
  </si>
  <si>
    <t>flytpath</t>
  </si>
  <si>
    <t>start</t>
  </si>
  <si>
    <t>advanced</t>
  </si>
  <si>
    <t>three</t>
  </si>
  <si>
    <t>관련</t>
  </si>
  <si>
    <t>break</t>
  </si>
  <si>
    <t>두</t>
  </si>
  <si>
    <t>personal</t>
  </si>
  <si>
    <t>graphics</t>
  </si>
  <si>
    <t>1997</t>
  </si>
  <si>
    <t>zephyrus</t>
  </si>
  <si>
    <t>snapchat</t>
  </si>
  <si>
    <t>technologies</t>
  </si>
  <si>
    <t>colin</t>
  </si>
  <si>
    <t>vacuum</t>
  </si>
  <si>
    <t>micro</t>
  </si>
  <si>
    <t>33</t>
  </si>
  <si>
    <t>watches</t>
  </si>
  <si>
    <t>named</t>
  </si>
  <si>
    <t>ich</t>
  </si>
  <si>
    <t>geração</t>
  </si>
  <si>
    <t>appliances</t>
  </si>
  <si>
    <t>et</t>
  </si>
  <si>
    <t>올레드</t>
  </si>
  <si>
    <t>25</t>
  </si>
  <si>
    <t>gen</t>
  </si>
  <si>
    <t>screw</t>
  </si>
  <si>
    <t>les</t>
  </si>
  <si>
    <t>inquiries</t>
  </si>
  <si>
    <t>globe</t>
  </si>
  <si>
    <t>net</t>
  </si>
  <si>
    <t>key</t>
  </si>
  <si>
    <t>world's</t>
  </si>
  <si>
    <t>red</t>
  </si>
  <si>
    <t>displays</t>
  </si>
  <si>
    <t>dich</t>
  </si>
  <si>
    <t>info</t>
  </si>
  <si>
    <t>photo</t>
  </si>
  <si>
    <t>weekly</t>
  </si>
  <si>
    <t>email</t>
  </si>
  <si>
    <t>episodes</t>
  </si>
  <si>
    <t>77</t>
  </si>
  <si>
    <t>scosche</t>
  </si>
  <si>
    <t>covering</t>
  </si>
  <si>
    <t>access</t>
  </si>
  <si>
    <t>above</t>
  </si>
  <si>
    <t>performance</t>
  </si>
  <si>
    <t>discover</t>
  </si>
  <si>
    <t>possible</t>
  </si>
  <si>
    <t>portable</t>
  </si>
  <si>
    <t>8600g</t>
  </si>
  <si>
    <t>privacy</t>
  </si>
  <si>
    <t>3d</t>
  </si>
  <si>
    <t>2d</t>
  </si>
  <si>
    <t>hardware</t>
  </si>
  <si>
    <t>vehicles</t>
  </si>
  <si>
    <t>inteligente</t>
  </si>
  <si>
    <t>filled</t>
  </si>
  <si>
    <t>etc</t>
  </si>
  <si>
    <t>house</t>
  </si>
  <si>
    <t>guidelines</t>
  </si>
  <si>
    <t>years</t>
  </si>
  <si>
    <t>startups</t>
  </si>
  <si>
    <t>purpose</t>
  </si>
  <si>
    <t>cu7700</t>
  </si>
  <si>
    <t>inc</t>
  </si>
  <si>
    <t>section</t>
  </si>
  <si>
    <t>main</t>
  </si>
  <si>
    <t>macs</t>
  </si>
  <si>
    <t>16gb</t>
  </si>
  <si>
    <t>intelligence</t>
  </si>
  <si>
    <t>friday</t>
  </si>
  <si>
    <t>seen</t>
  </si>
  <si>
    <t>wednesday</t>
  </si>
  <si>
    <t>qned</t>
  </si>
  <si>
    <t>ready</t>
  </si>
  <si>
    <t>eine</t>
  </si>
  <si>
    <t>gpus</t>
  </si>
  <si>
    <t>patel</t>
  </si>
  <si>
    <t>fire</t>
  </si>
  <si>
    <t>레티널</t>
  </si>
  <si>
    <t>cpus</t>
  </si>
  <si>
    <t>linked</t>
  </si>
  <si>
    <t>down</t>
  </si>
  <si>
    <t>showstoppers</t>
  </si>
  <si>
    <t>mobile</t>
  </si>
  <si>
    <t>prices</t>
  </si>
  <si>
    <t>thunderbolt</t>
  </si>
  <si>
    <t>xiaomi</t>
  </si>
  <si>
    <t>such</t>
  </si>
  <si>
    <t>22</t>
  </si>
  <si>
    <t>site</t>
  </si>
  <si>
    <t>iphones</t>
  </si>
  <si>
    <t>480hz</t>
  </si>
  <si>
    <t>nilay</t>
  </si>
  <si>
    <t>helps</t>
  </si>
  <si>
    <t>action</t>
  </si>
  <si>
    <t>44</t>
  </si>
  <si>
    <t>m4</t>
  </si>
  <si>
    <t>edge</t>
  </si>
  <si>
    <t>lowest</t>
  </si>
  <si>
    <t>before</t>
  </si>
  <si>
    <t>affiliates</t>
  </si>
  <si>
    <t>з</t>
  </si>
  <si>
    <t>become</t>
  </si>
  <si>
    <t>floatplane</t>
  </si>
  <si>
    <t>256gb</t>
  </si>
  <si>
    <t>pint</t>
  </si>
  <si>
    <t>alienware</t>
  </si>
  <si>
    <t>upcoming</t>
  </si>
  <si>
    <t>keller</t>
  </si>
  <si>
    <t>toktok</t>
  </si>
  <si>
    <t>enjoy</t>
  </si>
  <si>
    <t>fly</t>
  </si>
  <si>
    <t>hands</t>
  </si>
  <si>
    <t>feel</t>
  </si>
  <si>
    <t>trademark</t>
  </si>
  <si>
    <t>icemyst</t>
  </si>
  <si>
    <t>70mm</t>
  </si>
  <si>
    <t>model</t>
  </si>
  <si>
    <t>00am</t>
  </si>
  <si>
    <t>ucmktn_hvpfbtu3qv4lhjimw</t>
  </si>
  <si>
    <t>derek</t>
  </si>
  <si>
    <t>isn</t>
  </si>
  <si>
    <t>msrp</t>
  </si>
  <si>
    <t>due</t>
  </si>
  <si>
    <t>duo</t>
  </si>
  <si>
    <t>wifi</t>
  </si>
  <si>
    <t>아니</t>
  </si>
  <si>
    <t>musk</t>
  </si>
  <si>
    <t>ally</t>
  </si>
  <si>
    <t>#6</t>
  </si>
  <si>
    <t>g6</t>
  </si>
  <si>
    <t>ps5</t>
  </si>
  <si>
    <t>condicionado</t>
  </si>
  <si>
    <t>d</t>
  </si>
  <si>
    <t>f</t>
  </si>
  <si>
    <t>v</t>
  </si>
  <si>
    <t>p</t>
  </si>
  <si>
    <t>very</t>
  </si>
  <si>
    <t>benchmark</t>
  </si>
  <si>
    <t>research</t>
  </si>
  <si>
    <t>real</t>
  </si>
  <si>
    <t>stories</t>
  </si>
  <si>
    <t>primeiro</t>
  </si>
  <si>
    <t>helper</t>
  </si>
  <si>
    <t>techlead</t>
  </si>
  <si>
    <t>currently</t>
  </si>
  <si>
    <t>experience</t>
  </si>
  <si>
    <t>water</t>
  </si>
  <si>
    <t>#asus</t>
  </si>
  <si>
    <t>explore</t>
  </si>
  <si>
    <t>brought</t>
  </si>
  <si>
    <t>back</t>
  </si>
  <si>
    <t>natürlich</t>
  </si>
  <si>
    <t>smartphones</t>
  </si>
  <si>
    <t>lumix</t>
  </si>
  <si>
    <t>affiliated</t>
  </si>
  <si>
    <t>jack</t>
  </si>
  <si>
    <t>이</t>
  </si>
  <si>
    <t>showcased</t>
  </si>
  <si>
    <t>park</t>
  </si>
  <si>
    <t>entstehen</t>
  </si>
  <si>
    <t>television</t>
  </si>
  <si>
    <t>em</t>
  </si>
  <si>
    <t>gm</t>
  </si>
  <si>
    <t>ultimea</t>
  </si>
  <si>
    <t>sigma</t>
  </si>
  <si>
    <t>이란</t>
  </si>
  <si>
    <t>artist</t>
  </si>
  <si>
    <t>pepcom</t>
  </si>
  <si>
    <t>magflow</t>
  </si>
  <si>
    <t>anker</t>
  </si>
  <si>
    <t>launching</t>
  </si>
  <si>
    <t>month</t>
  </si>
  <si>
    <t>mehrkosten</t>
  </si>
  <si>
    <t>beteiligt</t>
  </si>
  <si>
    <t>#lifesgood</t>
  </si>
  <si>
    <t>creation</t>
  </si>
  <si>
    <t>blinki</t>
  </si>
  <si>
    <t>prototypes</t>
  </si>
  <si>
    <t>stations</t>
  </si>
  <si>
    <t>light</t>
  </si>
  <si>
    <t>following</t>
  </si>
  <si>
    <t>5600gt</t>
  </si>
  <si>
    <t>core</t>
  </si>
  <si>
    <t>viewers</t>
  </si>
  <si>
    <t>ofertas</t>
  </si>
  <si>
    <t>standard</t>
  </si>
  <si>
    <t>tradução</t>
  </si>
  <si>
    <t>s24</t>
  </si>
  <si>
    <t>abonnez</t>
  </si>
  <si>
    <t>security</t>
  </si>
  <si>
    <t>smartphone</t>
  </si>
  <si>
    <t>senior</t>
  </si>
  <si>
    <t>allows</t>
  </si>
  <si>
    <t>soundstripe</t>
  </si>
  <si>
    <t>owc</t>
  </si>
  <si>
    <t>dir</t>
  </si>
  <si>
    <t>areas</t>
  </si>
  <si>
    <t>99</t>
  </si>
  <si>
    <t>provides</t>
  </si>
  <si>
    <t>kaffeekasse</t>
  </si>
  <si>
    <t>blue</t>
  </si>
  <si>
    <t>kaufst</t>
  </si>
  <si>
    <t>booth</t>
  </si>
  <si>
    <t>überlassen</t>
  </si>
  <si>
    <t>#lgelectronics</t>
  </si>
  <si>
    <t>#tcltv</t>
  </si>
  <si>
    <t>supporting</t>
  </si>
  <si>
    <t>massive</t>
  </si>
  <si>
    <t>#lgdisplay</t>
  </si>
  <si>
    <t>driver</t>
  </si>
  <si>
    <t>headphones</t>
  </si>
  <si>
    <t>co</t>
  </si>
  <si>
    <t>right</t>
  </si>
  <si>
    <t>wo</t>
  </si>
  <si>
    <t>maxim</t>
  </si>
  <si>
    <t>alogic</t>
  </si>
  <si>
    <t>provision</t>
  </si>
  <si>
    <t>bleeding</t>
  </si>
  <si>
    <t>wir</t>
  </si>
  <si>
    <t>37iam7mxrjgpy27blaraddgbphswgi51yx</t>
  </si>
  <si>
    <t>vehicle</t>
  </si>
  <si>
    <t>nano</t>
  </si>
  <si>
    <t>board</t>
  </si>
  <si>
    <t>data</t>
  </si>
  <si>
    <t>pedro</t>
  </si>
  <si>
    <t>bekannten</t>
  </si>
  <si>
    <t>matic</t>
  </si>
  <si>
    <t>computing</t>
  </si>
  <si>
    <t>스타트업</t>
  </si>
  <si>
    <t>shapiro</t>
  </si>
  <si>
    <t>애플</t>
  </si>
  <si>
    <t>ca</t>
  </si>
  <si>
    <t>grupo</t>
  </si>
  <si>
    <t>auto</t>
  </si>
  <si>
    <t>uravgconsumer</t>
  </si>
  <si>
    <t>investing</t>
  </si>
  <si>
    <t>produkt</t>
  </si>
  <si>
    <t>casa</t>
  </si>
  <si>
    <t>makes</t>
  </si>
  <si>
    <t>maker</t>
  </si>
  <si>
    <t>floor</t>
  </si>
  <si>
    <t>glasses</t>
  </si>
  <si>
    <t>sport</t>
  </si>
  <si>
    <t>같은</t>
  </si>
  <si>
    <t>adorama</t>
  </si>
  <si>
    <t>canaltech</t>
  </si>
  <si>
    <t>providing</t>
  </si>
  <si>
    <t>revolution</t>
  </si>
  <si>
    <t>accentum</t>
  </si>
  <si>
    <t>니모</t>
  </si>
  <si>
    <t>xcode</t>
  </si>
  <si>
    <t>7600xt</t>
  </si>
  <si>
    <t>keine</t>
  </si>
  <si>
    <t>eureka</t>
  </si>
  <si>
    <t>chip</t>
  </si>
  <si>
    <t>connected</t>
  </si>
  <si>
    <t>qualifying</t>
  </si>
  <si>
    <t>accessories</t>
  </si>
  <si>
    <t>launched</t>
  </si>
  <si>
    <t>gekennzeichneten</t>
  </si>
  <si>
    <t>themes</t>
  </si>
  <si>
    <t>supplies</t>
  </si>
  <si>
    <t>sharge</t>
  </si>
  <si>
    <t>health</t>
  </si>
  <si>
    <t>pour</t>
  </si>
  <si>
    <t>5700</t>
  </si>
  <si>
    <t>oneplus</t>
  </si>
  <si>
    <t>webcam</t>
  </si>
  <si>
    <t>einer</t>
  </si>
  <si>
    <t>builds</t>
  </si>
  <si>
    <t>unveiled</t>
  </si>
  <si>
    <t>conectada</t>
  </si>
  <si>
    <t>investors</t>
  </si>
  <si>
    <t>send</t>
  </si>
  <si>
    <t>reviewed</t>
  </si>
  <si>
    <t>#gaming</t>
  </si>
  <si>
    <t>chair</t>
  </si>
  <si>
    <t>server</t>
  </si>
  <si>
    <t>frandroid</t>
  </si>
  <si>
    <t>rc</t>
  </si>
  <si>
    <t>reports</t>
  </si>
  <si>
    <t>profile</t>
  </si>
  <si>
    <t>trakin</t>
  </si>
  <si>
    <t>qm8</t>
  </si>
  <si>
    <t>companion</t>
  </si>
  <si>
    <t>week</t>
  </si>
  <si>
    <t>cybersecurity</t>
  </si>
  <si>
    <t>bits</t>
  </si>
  <si>
    <t>hoodies</t>
  </si>
  <si>
    <t>beamo</t>
  </si>
  <si>
    <t>thunderblade</t>
  </si>
  <si>
    <t>charging</t>
  </si>
  <si>
    <t>te</t>
  </si>
  <si>
    <t>industry</t>
  </si>
  <si>
    <t>books</t>
  </si>
  <si>
    <t>qn85b</t>
  </si>
  <si>
    <t>hours</t>
  </si>
  <si>
    <t>care</t>
  </si>
  <si>
    <t>range</t>
  </si>
  <si>
    <t>programming</t>
  </si>
  <si>
    <t>samsung's</t>
  </si>
  <si>
    <t>trade</t>
  </si>
  <si>
    <t>qm89</t>
  </si>
  <si>
    <t>lens</t>
  </si>
  <si>
    <t>cases</t>
  </si>
  <si>
    <t>featured</t>
  </si>
  <si>
    <t>saloon</t>
  </si>
  <si>
    <t>rate</t>
  </si>
  <si>
    <t>dog</t>
  </si>
  <si>
    <t>paypal</t>
  </si>
  <si>
    <t>dock</t>
  </si>
  <si>
    <t>aspirador</t>
  </si>
  <si>
    <t>opinions</t>
  </si>
  <si>
    <t>dan</t>
  </si>
  <si>
    <t>celulares</t>
  </si>
  <si>
    <t>america</t>
  </si>
  <si>
    <t>team</t>
  </si>
  <si>
    <t>haben</t>
  </si>
  <si>
    <t>actually</t>
  </si>
  <si>
    <t>hp</t>
  </si>
  <si>
    <t>vp</t>
  </si>
  <si>
    <t>pound</t>
  </si>
  <si>
    <t>coupon</t>
  </si>
  <si>
    <t>beyond</t>
  </si>
  <si>
    <t>harman</t>
  </si>
  <si>
    <t>#1</t>
  </si>
  <si>
    <t>von</t>
  </si>
  <si>
    <t>won</t>
  </si>
  <si>
    <t>s1</t>
  </si>
  <si>
    <t>biggest</t>
  </si>
  <si>
    <t>mat</t>
  </si>
  <si>
    <t>windows</t>
  </si>
  <si>
    <t>software</t>
  </si>
  <si>
    <t>conclusion</t>
  </si>
  <si>
    <t>activities</t>
  </si>
  <si>
    <t>tag</t>
  </si>
  <si>
    <t>#rog</t>
  </si>
  <si>
    <t>dg</t>
  </si>
  <si>
    <t>gg</t>
  </si>
  <si>
    <t>ifixit</t>
  </si>
  <si>
    <t>concepts</t>
  </si>
  <si>
    <t>있었습니다</t>
  </si>
  <si>
    <t>way</t>
  </si>
  <si>
    <t>#reinventyourfuture</t>
  </si>
  <si>
    <t>#qdoled</t>
  </si>
  <si>
    <t>hybrid</t>
  </si>
  <si>
    <t>robotic</t>
  </si>
  <si>
    <t>dockkit</t>
  </si>
  <si>
    <t>includes</t>
  </si>
  <si>
    <t>disclosure</t>
  </si>
  <si>
    <t>indoor</t>
  </si>
  <si>
    <t>further</t>
  </si>
  <si>
    <t>processing</t>
  </si>
  <si>
    <t>greatly</t>
  </si>
  <si>
    <t>reach</t>
  </si>
  <si>
    <t>notre</t>
  </si>
  <si>
    <t>debut</t>
  </si>
  <si>
    <t>companies</t>
  </si>
  <si>
    <t>find</t>
  </si>
  <si>
    <t>#sony</t>
  </si>
  <si>
    <t>projetor</t>
  </si>
  <si>
    <t>rejoignez</t>
  </si>
  <si>
    <t>windows10</t>
  </si>
  <si>
    <t>aqara</t>
  </si>
  <si>
    <t>threads</t>
  </si>
  <si>
    <t>reading</t>
  </si>
  <si>
    <t>z95a</t>
  </si>
  <si>
    <t>z93a</t>
  </si>
  <si>
    <t>interviews</t>
  </si>
  <si>
    <t>#lgoled</t>
  </si>
  <si>
    <t>releasing</t>
  </si>
  <si>
    <t>katzmaier</t>
  </si>
  <si>
    <t>computer</t>
  </si>
  <si>
    <t>ces2024</t>
  </si>
  <si>
    <t>desktop</t>
  </si>
  <si>
    <t>evs</t>
  </si>
  <si>
    <t>discusses</t>
  </si>
  <si>
    <t>#3</t>
  </si>
  <si>
    <t>23</t>
  </si>
  <si>
    <t>cream</t>
  </si>
  <si>
    <t>sind</t>
  </si>
  <si>
    <t>lcd</t>
  </si>
  <si>
    <t>플래닛</t>
  </si>
  <si>
    <t>showcase</t>
  </si>
  <si>
    <t>unlimited</t>
  </si>
  <si>
    <t>ice</t>
  </si>
  <si>
    <t>zero</t>
  </si>
  <si>
    <t>preço</t>
  </si>
  <si>
    <t>#5</t>
  </si>
  <si>
    <t>75</t>
  </si>
  <si>
    <t>few</t>
  </si>
  <si>
    <t>international</t>
  </si>
  <si>
    <t>leo</t>
  </si>
  <si>
    <t>r5</t>
  </si>
  <si>
    <t>shares</t>
  </si>
  <si>
    <t>svp</t>
  </si>
  <si>
    <t>collect</t>
  </si>
  <si>
    <t>edelkrone</t>
  </si>
  <si>
    <t>appreciate</t>
  </si>
  <si>
    <t>mouse</t>
  </si>
  <si>
    <t>guru</t>
  </si>
  <si>
    <t>robots</t>
  </si>
  <si>
    <t>dn</t>
  </si>
  <si>
    <t>stick</t>
  </si>
  <si>
    <t>additions</t>
  </si>
  <si>
    <t>#ces2024rog</t>
  </si>
  <si>
    <t>newsletter</t>
  </si>
  <si>
    <t>evento</t>
  </si>
  <si>
    <t>5500gt</t>
  </si>
  <si>
    <t>huynh</t>
  </si>
  <si>
    <t>registered</t>
  </si>
  <si>
    <t>apple's</t>
  </si>
  <si>
    <t>alpha</t>
  </si>
  <si>
    <t>driving</t>
  </si>
  <si>
    <t>leading</t>
  </si>
  <si>
    <t>bottle</t>
  </si>
  <si>
    <t>transportation</t>
  </si>
  <si>
    <t>exciting</t>
  </si>
  <si>
    <t>g14</t>
  </si>
  <si>
    <t>cooker</t>
  </si>
  <si>
    <t>whatsapp</t>
  </si>
  <si>
    <t>werde</t>
  </si>
  <si>
    <t>airpod</t>
  </si>
  <si>
    <t>revealed</t>
  </si>
  <si>
    <t>6500x</t>
  </si>
  <si>
    <t>paramount</t>
  </si>
  <si>
    <t>matrix</t>
  </si>
  <si>
    <t>couple</t>
  </si>
  <si>
    <t>q7</t>
  </si>
  <si>
    <t>enjoyed</t>
  </si>
  <si>
    <t>easily</t>
  </si>
  <si>
    <t>reality</t>
  </si>
  <si>
    <t>david</t>
  </si>
  <si>
    <t>hear</t>
  </si>
  <si>
    <t>going</t>
  </si>
  <si>
    <t>starts</t>
  </si>
  <si>
    <t>invite</t>
  </si>
  <si>
    <t>true</t>
  </si>
  <si>
    <t>왔습니다</t>
  </si>
  <si>
    <t>cool</t>
  </si>
  <si>
    <t>dabei</t>
  </si>
  <si>
    <t>toaster</t>
  </si>
  <si>
    <t>tedards</t>
  </si>
  <si>
    <t>über</t>
  </si>
  <si>
    <t>thermal</t>
  </si>
  <si>
    <t>manfrotto</t>
  </si>
  <si>
    <t>#tcl</t>
  </si>
  <si>
    <t>lockly</t>
  </si>
  <si>
    <t>mail</t>
  </si>
  <si>
    <t>zenbook</t>
  </si>
  <si>
    <t>crutchfield</t>
  </si>
  <si>
    <t>platforms</t>
  </si>
  <si>
    <t>introduces</t>
  </si>
  <si>
    <t>tuned</t>
  </si>
  <si>
    <t>binoculars</t>
  </si>
  <si>
    <t>square</t>
  </si>
  <si>
    <t>limited</t>
  </si>
  <si>
    <t>front</t>
  </si>
  <si>
    <t>events</t>
  </si>
  <si>
    <t>tripod</t>
  </si>
  <si>
    <t>cold</t>
  </si>
  <si>
    <t>elsewhere</t>
  </si>
  <si>
    <t>trademarks</t>
  </si>
  <si>
    <t>lisa</t>
  </si>
  <si>
    <t>master</t>
  </si>
  <si>
    <t>4070</t>
  </si>
  <si>
    <t>4080</t>
  </si>
  <si>
    <t>drones</t>
  </si>
  <si>
    <t>shown</t>
  </si>
  <si>
    <t>docks</t>
  </si>
  <si>
    <t>sogenannte</t>
  </si>
  <si>
    <t>btf</t>
  </si>
  <si>
    <t>btc</t>
  </si>
  <si>
    <t>center</t>
  </si>
  <si>
    <t>james</t>
  </si>
  <si>
    <t>posts</t>
  </si>
  <si>
    <t>eremenko</t>
  </si>
  <si>
    <t>bleibt</t>
  </si>
  <si>
    <t>170</t>
  </si>
  <si>
    <t>next</t>
  </si>
  <si>
    <t>end</t>
  </si>
  <si>
    <t>8040</t>
  </si>
  <si>
    <t>purposes</t>
  </si>
  <si>
    <t>yeesterpaste</t>
  </si>
  <si>
    <t>gary</t>
  </si>
  <si>
    <t>siga</t>
  </si>
  <si>
    <t>baby</t>
  </si>
  <si>
    <t>q80a</t>
  </si>
  <si>
    <t>partnerships</t>
  </si>
  <si>
    <t>system</t>
  </si>
  <si>
    <t>days</t>
  </si>
  <si>
    <t>stocks</t>
  </si>
  <si>
    <t>ll</t>
  </si>
  <si>
    <t>soundbar</t>
  </si>
  <si>
    <t>os</t>
  </si>
  <si>
    <t>purifier</t>
  </si>
  <si>
    <t>mais</t>
  </si>
  <si>
    <t>discuss</t>
  </si>
  <si>
    <t>under</t>
  </si>
  <si>
    <t>acer</t>
  </si>
  <si>
    <t>intersects</t>
  </si>
  <si>
    <t>blade</t>
  </si>
  <si>
    <t>cobertura</t>
  </si>
  <si>
    <t>microsoft</t>
  </si>
  <si>
    <t>whokeys</t>
  </si>
  <si>
    <t>systems</t>
  </si>
  <si>
    <t>wann</t>
  </si>
  <si>
    <t>wars</t>
  </si>
  <si>
    <t>au</t>
  </si>
  <si>
    <t>su</t>
  </si>
  <si>
    <t>thoughts</t>
  </si>
  <si>
    <t>unique</t>
  </si>
  <si>
    <t>pcworld</t>
  </si>
  <si>
    <t>kommt</t>
  </si>
  <si>
    <t>voice</t>
  </si>
  <si>
    <t>remember</t>
  </si>
  <si>
    <t>nossa</t>
  </si>
  <si>
    <t>issues</t>
  </si>
  <si>
    <t>ultimate</t>
  </si>
  <si>
    <t>시그니처</t>
  </si>
  <si>
    <t>uravggf</t>
  </si>
  <si>
    <t>apus</t>
  </si>
  <si>
    <t>auch</t>
  </si>
  <si>
    <t>solchen</t>
  </si>
  <si>
    <t>#mla</t>
  </si>
  <si>
    <t>zustande</t>
  </si>
  <si>
    <t>gamers</t>
  </si>
  <si>
    <t>life</t>
  </si>
  <si>
    <t>48</t>
  </si>
  <si>
    <t>class</t>
  </si>
  <si>
    <t>g8</t>
  </si>
  <si>
    <t>2500x</t>
  </si>
  <si>
    <t>animation</t>
  </si>
  <si>
    <t>x8</t>
  </si>
  <si>
    <t>qn90b</t>
  </si>
  <si>
    <t>vás</t>
  </si>
  <si>
    <t>probably</t>
  </si>
  <si>
    <t>비전</t>
  </si>
  <si>
    <t>#lgces2024</t>
  </si>
  <si>
    <t>footage</t>
  </si>
  <si>
    <t>electronic</t>
  </si>
  <si>
    <t>called</t>
  </si>
  <si>
    <t>s95d</t>
  </si>
  <si>
    <t>aber</t>
  </si>
  <si>
    <t>coding</t>
  </si>
  <si>
    <t>keep</t>
  </si>
  <si>
    <t>#2</t>
  </si>
  <si>
    <t>tamron</t>
  </si>
  <si>
    <t>42</t>
  </si>
  <si>
    <t>side</t>
  </si>
  <si>
    <t>투명</t>
  </si>
  <si>
    <t>disclaimer</t>
  </si>
  <si>
    <t>crecer</t>
  </si>
  <si>
    <t>recognition</t>
  </si>
  <si>
    <t>#gamingmonitor</t>
  </si>
  <si>
    <t>reader</t>
  </si>
  <si>
    <t>новинами</t>
  </si>
  <si>
    <t>showing</t>
  </si>
  <si>
    <t>soon</t>
  </si>
  <si>
    <t>facial</t>
  </si>
  <si>
    <t>#4</t>
  </si>
  <si>
    <t>인트로</t>
  </si>
  <si>
    <t>thin</t>
  </si>
  <si>
    <t>g4</t>
  </si>
  <si>
    <t>c4</t>
  </si>
  <si>
    <t>kitgurutech</t>
  </si>
  <si>
    <t>generation</t>
  </si>
  <si>
    <t>juegos</t>
  </si>
  <si>
    <t>yearly</t>
  </si>
  <si>
    <t>microled</t>
  </si>
  <si>
    <t>place</t>
  </si>
  <si>
    <t>smokeless</t>
  </si>
  <si>
    <t>business</t>
  </si>
  <si>
    <t>entire</t>
  </si>
  <si>
    <t>fi</t>
  </si>
  <si>
    <t>wi</t>
  </si>
  <si>
    <t>card</t>
  </si>
  <si>
    <t>bring</t>
  </si>
  <si>
    <t>impressive</t>
  </si>
  <si>
    <t>paste</t>
  </si>
  <si>
    <t>subscribers</t>
  </si>
  <si>
    <t>cards</t>
  </si>
  <si>
    <t>planet</t>
  </si>
  <si>
    <t>#tvs</t>
  </si>
  <si>
    <t>odkazy</t>
  </si>
  <si>
    <t>kitguru</t>
  </si>
  <si>
    <t>instead</t>
  </si>
  <si>
    <t>gmail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</si>
  <si>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</si>
  <si>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</si>
  <si>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</si>
  <si>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</si>
  <si>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</si>
  <si>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</si>
  <si>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</si>
  <si>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</si>
  <si>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</si>
  <si>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</si>
  <si>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</si>
  <si>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</si>
  <si>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</si>
  <si>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</si>
  <si>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</si>
  <si>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</si>
  <si>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</si>
  <si>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</si>
  <si>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</si>
  <si>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</si>
  <si>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</si>
  <si>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</si>
  <si>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</si>
  <si>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</si>
  <si>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</si>
  <si>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</si>
  <si>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</si>
  <si>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</si>
  <si>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</si>
  <si>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</si>
  <si>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</si>
  <si>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</si>
  <si>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</si>
  <si>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</si>
  <si>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</si>
  <si>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</si>
  <si>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</si>
  <si>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</si>
  <si>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</si>
  <si>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</si>
  <si>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</si>
  <si>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</si>
  <si>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</si>
  <si>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</si>
  <si>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</si>
  <si>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</si>
  <si>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</si>
  <si>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</si>
  <si>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</si>
  <si>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</si>
  <si>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CES 2024</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</si>
  <si>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</si>
  <si>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</si>
  <si>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</si>
  <si>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</si>
  <si>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</si>
  <si>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</si>
  <si>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</si>
  <si>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</si>
  <si>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</si>
  <si>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Video1 Comment in Entire Graph</t>
  </si>
  <si>
    <t>https://www.youtube.com/watch?v=x8TuG7Or5y8&amp;amp;t=2m28s</t>
  </si>
  <si>
    <t>https://www.youtube.com/watch?v=sQ6S7XzvFgw&amp;amp;t=1m46s</t>
  </si>
  <si>
    <t>https://shareasale.com/r.cfm?b=2135808&amp;amp;u=3346221&amp;amp;m=130510&amp;amp;urllink=&amp;amp;afftrack= https://shareasale.com/r.cfm?b=2135808&amp;amp;u=3346221&amp;amp;m=130510&amp;amp;urllink=&amp;amp;afftrack= https://bit.ly/3RWvQO4 https://bit.ly/3RWvQO4</t>
  </si>
  <si>
    <t>https://www.youtube.com/watch?v=9ZXrkcS1hB8&amp;amp;t=1m05s</t>
  </si>
  <si>
    <t>http://www.youtube.com/results?search_query=%233141</t>
  </si>
  <si>
    <t>https://www.youtube.com/watch?v=eQ0V8uvfB98&amp;amp;t=5m24s</t>
  </si>
  <si>
    <t>https://www.youtube.com/watch?v=eQ0V8uvfB98&amp;amp;t=8m12s</t>
  </si>
  <si>
    <t>https://www.youtube.com/watch?v=q2yJEc5KWVA&amp;amp;t=3m25s</t>
  </si>
  <si>
    <t>https://www.youtube.com/watch?v=BcZZOIdpISw&amp;amp;t=6m14s</t>
  </si>
  <si>
    <t>https://www.youtube.com/watch?v=fAdnFU3uVAE&amp;amp;t=2m26s</t>
  </si>
  <si>
    <t>Entire Graph Count</t>
  </si>
  <si>
    <t>Top URLs In Video1 Comment in G1</t>
  </si>
  <si>
    <t>https://www.youtube.com/watch?v=x8TuG7Or5y8&amp;amp;t=2m23s</t>
  </si>
  <si>
    <t>https://www.youtube.com/watch?v=iqpABS2UMRc&amp;amp;t=2m10s</t>
  </si>
  <si>
    <t>Top URLs In Video1 Comment in G2</t>
  </si>
  <si>
    <t>G1 Count</t>
  </si>
  <si>
    <t>https://www.youtube.com/watch?v=fAdnFU3uVAE&amp;amp;t=3m35s</t>
  </si>
  <si>
    <t>https://www.youtube.com/watch?v=PMW01KBO_R8&amp;amp;t=4m30s</t>
  </si>
  <si>
    <t>https://youtube.com/@LGitaliacs_Official https://youtube.com/@LGitaliacs_Official</t>
  </si>
  <si>
    <t>Top URLs In Video1 Comment in G3</t>
  </si>
  <si>
    <t>G2 Count</t>
  </si>
  <si>
    <t>https://www.youtube.com/watch?v=sy6DtXbPzeM&amp;amp;t=8m07s</t>
  </si>
  <si>
    <t>Top URLs In Video1 Comment in G4</t>
  </si>
  <si>
    <t>G3 Count</t>
  </si>
  <si>
    <t>Top URLs In Video1 Comment in G5</t>
  </si>
  <si>
    <t>G4 Count</t>
  </si>
  <si>
    <t>https://www.youtube.com/watch?v=JqQAFodjYBk&amp;amp;t=7m37s</t>
  </si>
  <si>
    <t>Top URLs In Video1 Comment in G6</t>
  </si>
  <si>
    <t>G5 Count</t>
  </si>
  <si>
    <t>https://www.youtube.com/watch?v=NPDS33uD5j4&amp;amp;t=6m54s</t>
  </si>
  <si>
    <t>Top URLs In Video1 Comment in G7</t>
  </si>
  <si>
    <t>G6 Count</t>
  </si>
  <si>
    <t>Top URLs In Video1 Comment in G8</t>
  </si>
  <si>
    <t>G7 Count</t>
  </si>
  <si>
    <t>G8 Count</t>
  </si>
  <si>
    <t>Top URLs In Video1 Comment</t>
  </si>
  <si>
    <t>https://www.youtube.com/watch?v=x8TuG7Or5y8&amp;amp;t=2m28s https://www.youtube.com/watch?v=sQ6S7XzvFgw&amp;amp;t=1m46s https://www.youtube.com/watch?v=x8TuG7Or5y8&amp;amp;t=2m23s https://www.youtube.com/watch?v=iqpABS2UMRc&amp;amp;t=2m10s http://www.youtube.com/results?search_query=%233141 https://www.youtube.com/watch?v=BcZZOIdpISw&amp;amp;t=6m14s</t>
  </si>
  <si>
    <t>https://www.youtube.com/watch?v=fAdnFU3uVAE&amp;amp;t=2m26s https://www.youtube.com/watch?v=fAdnFU3uVAE&amp;amp;t=3m35s https://www.youtube.com/watch?v=PMW01KBO_R8&amp;amp;t=4m30s https://youtube.com/@LGitaliacs_Official https://youtube.com/@LGitaliacs_Official</t>
  </si>
  <si>
    <t>https://www.youtube.com/watch?v=9ZXrkcS1hB8&amp;amp;t=1m05s https://shareasale.com/r.cfm?b=2135808&amp;amp;u=3346221&amp;amp;m=130510&amp;amp;urllink=&amp;amp;afftrack= https://shareasale.com/r.cfm?b=2135808&amp;amp;u=3346221&amp;amp;m=130510&amp;amp;urllink=&amp;amp;afftrack= https://bit.ly/3RWvQO4 https://bit.ly/3RWvQO4 https://www.youtube.com/watch?v=eQ0V8uvfB98&amp;amp;t=8m12s https://www.youtube.com/watch?v=eQ0V8uvfB98&amp;amp;t=5m24s https://www.youtube.com/watch?v=sy6DtXbPzeM&amp;amp;t=8m07s http://www.youtube.com/results?search_query=%233141 https://www.youtube.com/watch?v=q2yJEc5KWVA&amp;amp;t=3m25s</t>
  </si>
  <si>
    <t>Top Domains In Video1 Comment in Entire Graph</t>
  </si>
  <si>
    <t>Top Domains In Video1 Comment in G1</t>
  </si>
  <si>
    <t>Top Domains In Video1 Comment in G2</t>
  </si>
  <si>
    <t>Top Domains In Video1 Comment in G3</t>
  </si>
  <si>
    <t>Top Domains In Video1 Comment in G4</t>
  </si>
  <si>
    <t>Top Domains In Video1 Comment in G5</t>
  </si>
  <si>
    <t>Top Domains In Video1 Comment in G6</t>
  </si>
  <si>
    <t>Top Domains In Video1 Comment in G7</t>
  </si>
  <si>
    <t>Top Domains In Video1 Comment in G8</t>
  </si>
  <si>
    <t>Top Domains In Video1 Comment</t>
  </si>
  <si>
    <t>youtube.com shareasale.com shareasale.com bit.ly bit.ly</t>
  </si>
  <si>
    <t>Top Hashtags In Video1 Comment in Entire Graph</t>
  </si>
  <si>
    <t>Top Hashtags In Video1 Comment in G1</t>
  </si>
  <si>
    <t>Top Hashtags In Video1 Comment in G2</t>
  </si>
  <si>
    <t>Top Hashtags In Video1 Comment in G3</t>
  </si>
  <si>
    <t>Top Hashtags In Video1 Comment in G4</t>
  </si>
  <si>
    <t>Top Hashtags In Video1 Comment in G5</t>
  </si>
  <si>
    <t>Top Hashtags In Video1 Comment in G6</t>
  </si>
  <si>
    <t>Top Hashtags In Video1 Comment in G7</t>
  </si>
  <si>
    <t>Top Hashtags In Video1 Comment in G8</t>
  </si>
  <si>
    <t>Top Hashtags In Video1 Comment</t>
  </si>
  <si>
    <t>Top Words in Description in Entire Graph</t>
  </si>
  <si>
    <t>Top Words in Description in G1</t>
  </si>
  <si>
    <t>Top Words in Description in G2</t>
  </si>
  <si>
    <t>Top Words in Description in G3</t>
  </si>
  <si>
    <t>Top Words in Description in G4</t>
  </si>
  <si>
    <t>Top Words in Description in G5</t>
  </si>
  <si>
    <t>Top Words in Description in G6</t>
  </si>
  <si>
    <t>Top Words in Description in G7</t>
  </si>
  <si>
    <t>Top Words in Description in G8</t>
  </si>
  <si>
    <t>Top Words in Description</t>
  </si>
  <si>
    <t>follow new ces s news cnet 2024 subscribe apple instagram</t>
  </si>
  <si>
    <t>ces oled 2024 more 00 new lg gaming rog follow</t>
  </si>
  <si>
    <t>more ces 00 follow new 2024 tech amazon 2 check</t>
  </si>
  <si>
    <t>de samsung iphone pro e galaxy ces video 15 5</t>
  </si>
  <si>
    <t>ces 2024 amd follow ryzen auf technikfaultier new twitter 00</t>
  </si>
  <si>
    <t>samsung 2024 ces tcl s tv tvs links inch oled</t>
  </si>
  <si>
    <t>yeesterpaste paste thermal</t>
  </si>
  <si>
    <t>ces tech s more vegas space 2024 powerful c show</t>
  </si>
  <si>
    <t>Top Word Pairs in Description in Entire Graph</t>
  </si>
  <si>
    <t>ces,2024</t>
  </si>
  <si>
    <t>check,out</t>
  </si>
  <si>
    <t>follow,twitter</t>
  </si>
  <si>
    <t>cnet,s</t>
  </si>
  <si>
    <t>follow,instagram</t>
  </si>
  <si>
    <t>twitter,facebook</t>
  </si>
  <si>
    <t>instagram,follow</t>
  </si>
  <si>
    <t>follow,tiktok</t>
  </si>
  <si>
    <t>00,00</t>
  </si>
  <si>
    <t>00,intro</t>
  </si>
  <si>
    <t>Top Word Pairs in Description in G1</t>
  </si>
  <si>
    <t>cbs,news</t>
  </si>
  <si>
    <t>again,see</t>
  </si>
  <si>
    <t>Top Word Pairs in Description in G2</t>
  </si>
  <si>
    <t>digital,trends</t>
  </si>
  <si>
    <t>more,ces</t>
  </si>
  <si>
    <t>gaming,monitors</t>
  </si>
  <si>
    <t>read,more</t>
  </si>
  <si>
    <t>lg,display</t>
  </si>
  <si>
    <t>subscribe,latest</t>
  </si>
  <si>
    <t>oled,t</t>
  </si>
  <si>
    <t>#ces,#ces2024</t>
  </si>
  <si>
    <t>Top Word Pairs in Description in G3</t>
  </si>
  <si>
    <t>max,tech</t>
  </si>
  <si>
    <t>b,h</t>
  </si>
  <si>
    <t>tech,participant</t>
  </si>
  <si>
    <t>affiliate,links</t>
  </si>
  <si>
    <t>Top Word Pairs in Description in G4</t>
  </si>
  <si>
    <t>5,mobilů</t>
  </si>
  <si>
    <t>256,512gb</t>
  </si>
  <si>
    <t>top,5</t>
  </si>
  <si>
    <t>pro,max</t>
  </si>
  <si>
    <t>iphone,14</t>
  </si>
  <si>
    <t>iphone,15</t>
  </si>
  <si>
    <t>000,kč</t>
  </si>
  <si>
    <t>galaxy,s23</t>
  </si>
  <si>
    <t>kabum,smart</t>
  </si>
  <si>
    <t>Top Word Pairs in Description in G5</t>
  </si>
  <si>
    <t>technikfaultier,auf</t>
  </si>
  <si>
    <t>rx,7600</t>
  </si>
  <si>
    <t>amd,ryzen</t>
  </si>
  <si>
    <t>radeon,rx</t>
  </si>
  <si>
    <t>https,www</t>
  </si>
  <si>
    <t>7600,xt</t>
  </si>
  <si>
    <t>für,dich</t>
  </si>
  <si>
    <t>Top Word Pairs in Description in G6</t>
  </si>
  <si>
    <t>2024,samsung</t>
  </si>
  <si>
    <t>samsung,tvs</t>
  </si>
  <si>
    <t>first,look</t>
  </si>
  <si>
    <t>115,inch</t>
  </si>
  <si>
    <t>mini,led</t>
  </si>
  <si>
    <t>tv,ces</t>
  </si>
  <si>
    <t>3,000</t>
  </si>
  <si>
    <t>lg,s</t>
  </si>
  <si>
    <t>Top Word Pairs in Description in G7</t>
  </si>
  <si>
    <t>thermal,paste</t>
  </si>
  <si>
    <t>Top Word Pairs in Description in G8</t>
  </si>
  <si>
    <t>c,space</t>
  </si>
  <si>
    <t>las,vegas</t>
  </si>
  <si>
    <t>gary,shapiro</t>
  </si>
  <si>
    <t>eureka,park</t>
  </si>
  <si>
    <t>Top Word Pairs in Description</t>
  </si>
  <si>
    <t>ces,2024  cnet,s  follow,twitter  cbs,news  follow,instagram  check,out  twitter,facebook  instagram,follow  follow,tiktok  again,see</t>
  </si>
  <si>
    <t>ces,2024  digital,trends  more,ces  00,00  gaming,monitors  read,more  lg,display  subscribe,latest  oled,t  #ces,#ces2024</t>
  </si>
  <si>
    <t>ces,2024  check,out  max,tech  b,h  follow,twitter  tech,participant  affiliate,links  read,more  follow,instagram  00,00</t>
  </si>
  <si>
    <t>5,mobilů  256,512gb  top,5  pro,max  iphone,14  iphone,15  ces,2024  000,kč  galaxy,s23  kabum,smart</t>
  </si>
  <si>
    <t>ces,2024  technikfaultier,auf  rx,7600  amd,ryzen  radeon,rx  check,out  affiliate,links  https,www  7600,xt  für,dich</t>
  </si>
  <si>
    <t>ces,2024  2024,samsung  samsung,tvs  first,look  115,inch  check,out  mini,led  tv,ces  3,000  lg,s</t>
  </si>
  <si>
    <t>c,space  las,vegas  ces,2024  gary,shapiro  eureka,park</t>
  </si>
  <si>
    <t>URLs In Video1 Comment by Count</t>
  </si>
  <si>
    <t>https://youtube.com/@LGitaliacs_Official</t>
  </si>
  <si>
    <t>https://www.youtube.com/watch?v=x8TuG7Or5y8&amp;amp;t=2m28s https://www.youtube.com/watch?v=x8TuG7Or5y8&amp;amp;t=2m23s</t>
  </si>
  <si>
    <t>https://www.youtube.com/watch?v=fAdnFU3uVAE&amp;amp;t=2m26s https://www.youtube.com/watch?v=fAdnFU3uVAE&amp;amp;t=3m35s</t>
  </si>
  <si>
    <t>http://www.youtube.com/results?search_query=%233141 https://www.youtube.com/watch?v=iqpABS2UMRc&amp;amp;t=2m10s</t>
  </si>
  <si>
    <t>https://www.youtube.com/watch?v=9ZXrkcS1hB8&amp;amp;t=1m05s http://www.youtube.com/results?search_query=%233141</t>
  </si>
  <si>
    <t>https://shareasale.com/r.cfm?b=2135808&amp;amp;u=3346221&amp;amp;m=130510&amp;amp;urllink=&amp;amp;afftrack= https://bit.ly/3RWvQO4 https://www.youtube.com/watch?v=q2yJEc5KWVA&amp;amp;t=3m25s</t>
  </si>
  <si>
    <t>https://www.youtube.com/watch?v=eQ0V8uvfB98&amp;amp;t=5m24s https://www.youtube.com/watch?v=eQ0V8uvfB98&amp;amp;t=8m12s</t>
  </si>
  <si>
    <t>URLs In Video1 Comment by Salience</t>
  </si>
  <si>
    <t>https://www.youtube.com/watch?v=x8TuG7Or5y8&amp;amp;t=2m23s https://www.youtube.com/watch?v=x8TuG7Or5y8&amp;amp;t=2m28s</t>
  </si>
  <si>
    <t>https://www.youtube.com/watch?v=fAdnFU3uVAE&amp;amp;t=3m35s https://www.youtube.com/watch?v=fAdnFU3uVAE&amp;amp;t=2m26s</t>
  </si>
  <si>
    <t>https://www.youtube.com/watch?v=iqpABS2UMRc&amp;amp;t=2m10s http://www.youtube.com/results?search_query=%233141</t>
  </si>
  <si>
    <t>http://www.youtube.com/results?search_query=%233141 https://www.youtube.com/watch?v=9ZXrkcS1hB8&amp;amp;t=1m05s</t>
  </si>
  <si>
    <t>https://www.youtube.com/watch?v=eQ0V8uvfB98&amp;amp;t=8m12s https://www.youtube.com/watch?v=eQ0V8uvfB98&amp;amp;t=5m24s</t>
  </si>
  <si>
    <t>Domains In Video1 Comment by Count</t>
  </si>
  <si>
    <t>shareasale.com bit.ly youtube.com</t>
  </si>
  <si>
    <t>Domains In Video1 Comment by Salience</t>
  </si>
  <si>
    <t>Hashtags In Video1 Comment by Count</t>
  </si>
  <si>
    <t>Hashtags In Video1 Comment by Salience</t>
  </si>
  <si>
    <t>Top Words in Description by Count</t>
  </si>
  <si>
    <t>Top Words in Description by Salience</t>
  </si>
  <si>
    <t>Top Word Pairs in Description by Count</t>
  </si>
  <si>
    <t>Top Word Pairs in Description by Salience</t>
  </si>
  <si>
    <t>26, 115, 0</t>
  </si>
  <si>
    <t>Green</t>
  </si>
  <si>
    <t>20, 118, 0</t>
  </si>
  <si>
    <t>53, 102, 0</t>
  </si>
  <si>
    <t>46, 105, 0</t>
  </si>
  <si>
    <t>7, 125, 0</t>
  </si>
  <si>
    <t>13, 121, 0</t>
  </si>
  <si>
    <t>112, 72, 0</t>
  </si>
  <si>
    <t>59, 98, 0</t>
  </si>
  <si>
    <t>79, 89, 0</t>
  </si>
  <si>
    <t>39, 108, 0</t>
  </si>
  <si>
    <t>33, 112, 0</t>
  </si>
  <si>
    <t>98, 79, 0</t>
  </si>
  <si>
    <t>Red</t>
  </si>
  <si>
    <t>85, 85, 0</t>
  </si>
  <si>
    <t>92, 82, 0</t>
  </si>
  <si>
    <t>66, 95, 0</t>
  </si>
  <si>
    <t>G1: follow new ces s news cnet 2024 subscribe apple instagram</t>
  </si>
  <si>
    <t>G2: ces oled 2024 more 00 new lg gaming rog follow</t>
  </si>
  <si>
    <t>G3: more ces 00 follow new 2024 tech amazon 2 check</t>
  </si>
  <si>
    <t>G4: de samsung iphone pro e galaxy ces video 15 5</t>
  </si>
  <si>
    <t>G5: ces 2024 amd follow ryzen auf technikfaultier new twitter 00</t>
  </si>
  <si>
    <t>G6: samsung 2024 ces tcl s tv tvs links inch oled</t>
  </si>
  <si>
    <t>G7: yeesterpaste paste thermal</t>
  </si>
  <si>
    <t>G8: ces tech s more vegas space 2024 powerful c show</t>
  </si>
  <si>
    <t>Subgraph</t>
  </si>
  <si>
    <t>GraphSource░Y*uTubeVideo▓GraphTerm░CES 2024▓ImportDescription░The graph represents the network of YouTube videos whose title, keywords, description, categories, or author's username contain "CES 2024".  The network was obtained from YouTube on Friday, 12 January 2024 at 00:35 UTC.
The network was limited to 100 videos.
There is an edge for each pair of videos commented on by the same user.▓ImportSuggestedTitle░YouTube Video CES 2024▓ImportSuggestedFileNameNoExtension░2024-01-12 00-33-37 NodeXL YouTube Video CES 2024▓GroupingDescription░The graph's vertices were grouped by cluster using the Clauset-Newman-Moore cluster algorithm.▓LayoutAlgorithm░The graph was laid out using the Harel-Koren Fast Multiscale layout algorithm.▓GraphDirectedness░The graph is directed.</t>
  </si>
  <si>
    <t>Skip&lt;/value&gt;
      &lt;/setting&gt;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281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t>
  </si>
  <si>
    <t>Edge Weight▓1▓54▓0▓True▓Green▓Red▓▓Edge Weight▓1▓20▓0▓5▓10▓False▓Edge Weight▓1▓54▓0▓32▓6▓False▓▓0▓0▓0▓True▓Black▓Black▓▓Views▓290▓2512114▓0▓20▓1000▓True▓Betweenness Centrality▓0▓916.710429▓3▓100▓70▓False▓▓0▓0▓0▓0▓0▓False▓▓0▓0▓0▓0▓0▓False</t>
  </si>
  <si>
    <t xml:space="preserve">ableName&gt;Edges&lt;/TableName&gt;
                &lt;ColumnName&gt;Hashtags In Video1 Comment&lt;/ColumnName&gt;
                &lt;Delimiter&gt;None&lt;/Delimiter&gt;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&lt;value&gt;Views&lt;/value&gt;
      &lt;/setting&gt;
      &lt;setting name="VertexToolTipSourceColumnName" serializeAs="String"&gt;
        &lt;value&gt;Description&lt;/value&gt;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20 1000 False True&lt;/value&gt;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</si>
  <si>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Y*uTubeVideo</t>
  </si>
  <si>
    <t>The graph represents the network of YouTube videos whose title, keywords, description, categories, or author's username contain "CES 2024".  The network was obtained from YouTube on Friday, 12 January 2024 at 00:35 UTC.
The network was limited to 100 videos.
There is an edge for each pair of videos commented on by the same user.</t>
  </si>
  <si>
    <t>The graph was laid out using the Harel-Koren Fast Multiscale layout algorithm.</t>
  </si>
  <si>
    <t>https://nodexlgraphgallery.org/Pages/Graph.aspx?graphID=294264</t>
  </si>
  <si>
    <t>https://nodexlgraphgallery.org/Images/Image.ashx?graphID=294264&amp;type=f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</si>
</sst>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10" fillId="0" borderId="0" xfId="28" applyFill="1" applyAlignment="1">
      <alignment/>
    </xf>
    <xf numFmtId="1" fontId="0" fillId="4" borderId="1" xfId="24" applyNumberFormat="1" applyAlignment="1" quotePrefix="1">
      <alignment/>
    </xf>
    <xf numFmtId="49" fontId="6" fillId="5" borderId="11" xfId="25" applyNumberFormat="1" applyBorder="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3"/>
      <tableStyleElement type="headerRow" dxfId="302"/>
    </tableStyle>
    <tableStyle name="NodeXL Table" pivot="0" count="1">
      <tableStyleElement type="headerRow" dxfId="3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638428"/>
        <c:axId val="15528125"/>
      </c:barChart>
      <c:catAx>
        <c:axId val="166384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528125"/>
        <c:crosses val="autoZero"/>
        <c:auto val="1"/>
        <c:lblOffset val="100"/>
        <c:noMultiLvlLbl val="0"/>
      </c:catAx>
      <c:valAx>
        <c:axId val="15528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38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35398"/>
        <c:axId val="49818583"/>
      </c:barChart>
      <c:catAx>
        <c:axId val="55353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818583"/>
        <c:crosses val="autoZero"/>
        <c:auto val="1"/>
        <c:lblOffset val="100"/>
        <c:noMultiLvlLbl val="0"/>
      </c:catAx>
      <c:valAx>
        <c:axId val="49818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5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714064"/>
        <c:axId val="8773393"/>
      </c:barChart>
      <c:catAx>
        <c:axId val="457140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773393"/>
        <c:crosses val="autoZero"/>
        <c:auto val="1"/>
        <c:lblOffset val="100"/>
        <c:noMultiLvlLbl val="0"/>
      </c:catAx>
      <c:valAx>
        <c:axId val="8773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14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851674"/>
        <c:axId val="39556203"/>
      </c:barChart>
      <c:catAx>
        <c:axId val="118516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556203"/>
        <c:crosses val="autoZero"/>
        <c:auto val="1"/>
        <c:lblOffset val="100"/>
        <c:noMultiLvlLbl val="0"/>
      </c:catAx>
      <c:valAx>
        <c:axId val="39556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51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461508"/>
        <c:axId val="49935845"/>
      </c:barChart>
      <c:catAx>
        <c:axId val="204615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935845"/>
        <c:crosses val="autoZero"/>
        <c:auto val="1"/>
        <c:lblOffset val="100"/>
        <c:noMultiLvlLbl val="0"/>
      </c:catAx>
      <c:valAx>
        <c:axId val="49935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61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769422"/>
        <c:axId val="18271615"/>
      </c:barChart>
      <c:catAx>
        <c:axId val="467694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271615"/>
        <c:crosses val="autoZero"/>
        <c:auto val="1"/>
        <c:lblOffset val="100"/>
        <c:noMultiLvlLbl val="0"/>
      </c:catAx>
      <c:valAx>
        <c:axId val="18271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69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226808"/>
        <c:axId val="3605817"/>
      </c:barChart>
      <c:catAx>
        <c:axId val="302268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05817"/>
        <c:crosses val="autoZero"/>
        <c:auto val="1"/>
        <c:lblOffset val="100"/>
        <c:noMultiLvlLbl val="0"/>
      </c:catAx>
      <c:valAx>
        <c:axId val="3605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26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452354"/>
        <c:axId val="23635731"/>
      </c:barChart>
      <c:catAx>
        <c:axId val="324523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635731"/>
        <c:crosses val="autoZero"/>
        <c:auto val="1"/>
        <c:lblOffset val="100"/>
        <c:noMultiLvlLbl val="0"/>
      </c:catAx>
      <c:valAx>
        <c:axId val="23635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52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394988"/>
        <c:axId val="35446029"/>
      </c:barChart>
      <c:catAx>
        <c:axId val="11394988"/>
        <c:scaling>
          <c:orientation val="minMax"/>
        </c:scaling>
        <c:axPos val="b"/>
        <c:delete val="1"/>
        <c:majorTickMark val="out"/>
        <c:minorTickMark val="none"/>
        <c:tickLblPos val="none"/>
        <c:crossAx val="35446029"/>
        <c:crosses val="autoZero"/>
        <c:auto val="1"/>
        <c:lblOffset val="100"/>
        <c:noMultiLvlLbl val="0"/>
      </c:catAx>
      <c:valAx>
        <c:axId val="35446029"/>
        <c:scaling>
          <c:orientation val="minMax"/>
        </c:scaling>
        <c:axPos val="l"/>
        <c:delete val="1"/>
        <c:majorTickMark val="out"/>
        <c:minorTickMark val="none"/>
        <c:tickLblPos val="none"/>
        <c:crossAx val="113949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69</xdr:row>
      <xdr:rowOff>28575</xdr:rowOff>
    </xdr:from>
    <xdr:to>
      <xdr:col>1</xdr:col>
      <xdr:colOff>752475</xdr:colOff>
      <xdr:row>69</xdr:row>
      <xdr:rowOff>504825</xdr:rowOff>
    </xdr:to>
    <xdr:pic>
      <xdr:nvPicPr>
        <xdr:cNvPr id="3" name="Subgraph-ElIdKs4dbY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5699700"/>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5" name="Subgraph-LaMdOM4I9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85850" y="19983450"/>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7" name="Subgraph-NPDS33uD5j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85850" y="531495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9" name="Subgraph-JqQAFodjYB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85850" y="112395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1" name="Subgraph-LhM01tDbPf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426720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3" name="Subgraph-rMXwAku-tJ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11601450"/>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5" name="Subgraph-adlroSxG1Q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85850" y="377952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7" name="Subgraph-Hofo1zW5V9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85850" y="6886575"/>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9" name="Subgraph-fJfnqpiSv8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38319075"/>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21" name="Subgraph-5-96URqq-u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85850" y="1841182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3" name="Subgraph-rGW7lWYSg6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85850" y="28365450"/>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5" name="Subgraph-tcHGpw7KKE4"/>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85850" y="845820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7" name="Subgraph-1W0PDmVgpl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647825"/>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9" name="Subgraph-PMW01KBO_R8"/>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0029825"/>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1" name="Subgraph-L97N3KUi6V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85850" y="257460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33" name="Subgraph-ajlFs92JZ0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85850" y="3219450"/>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5" name="Subgraph-2IP3iOe5cX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85850" y="18935700"/>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7" name="Subgraph-X3vMHqIFtn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85850" y="21031200"/>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9" name="Subgraph-yqp6le8_KD4"/>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38842950"/>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41" name="Subgraph-TfqEDPHjK5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36747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43" name="Subgraph-edHXMHxVHj4"/>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85850" y="793432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5" name="Subgraph-sy6DtXbPzeM"/>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85850" y="269557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47" name="Subgraph-MtSJWWKb7K0"/>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85850" y="4791075"/>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49" name="Subgraph-wGow7kVaxB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8585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51" name="Subgraph-k2w5CVgw-a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85850" y="3989070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53" name="Subgraph-M6dBkL6pmvw"/>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85850" y="12125325"/>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5" name="Subgraph-fNGTWxDZrW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85850" y="5838825"/>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57" name="Subgraph-Ide5Y8XbPg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85850" y="404145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59" name="Subgraph-x8TuG7Or5y8"/>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85850" y="6000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61" name="Subgraph-L1dEFfar3WY"/>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85850" y="7410450"/>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63" name="Subgraph-BXQySIaYgb0"/>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85850" y="231267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65" name="Subgraph-LlTpLD0whI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85850" y="21555075"/>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qCqsgXyM8_k"/>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85850" y="17364075"/>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9" name="Subgraph-eTDz3aGc1TQ"/>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85850" y="320325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71" name="Subgraph-tpHrMBiQUC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85850" y="13696950"/>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73" name="Subgraph-rOol_QXrzTQ"/>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85850" y="17887950"/>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75" name="Subgraph-7uN5CWl2kS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85850" y="33604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77" name="Subgraph-OHPpCpOGbt8"/>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85850" y="13173075"/>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79" name="Subgraph-K-_qencWHx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85850" y="3412807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81" name="Subgraph-uRLOYhznC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85850" y="898207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83" name="Subgraph-MjdQCiob2y0"/>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85850" y="16840200"/>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85" name="Subgraph-m_JDXNU8tD8"/>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85850" y="10553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87" name="Subgraph-ju9bTrePzUY"/>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085850" y="23650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89" name="Subgraph-sQ6S7XzvFgw"/>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085850" y="15792450"/>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91" name="Subgraph-0sqBMrCRQF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85850" y="2207895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3" name="Subgraph-cRNcVbT0tQ8"/>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085850" y="217170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95" name="Subgraph-7nI3V7z6vZw"/>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85850" y="2260282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97" name="Subgraph-00tfUV2EfYw"/>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85850" y="30460950"/>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99" name="Subgraph-rPOQqWWVUwY"/>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085850" y="3150870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01" name="Subgraph-aslbdFLvxv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085850" y="3308032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03" name="Subgraph-fAdnFU3uVA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085850" y="1422082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05" name="Subgraph-5zmf9MMcyB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085850" y="2417445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07" name="Subgraph-ANixUoqDznU"/>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085850" y="36223575"/>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09" name="Subgraph-zUsYGNwHKxw"/>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085850" y="20507325"/>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11" name="Subgraph-7Tf5QEdoO4Q"/>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085850" y="19459575"/>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13" name="Subgraph-KtxrtYAbDC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085850" y="3727132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15" name="Subgraph-iqpABS2UMR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085850" y="9505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17" name="Subgraph-2mmCA-xKw7A"/>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085850" y="26793825"/>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SZMVhcJP87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085850" y="3098482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1" name="Subgraph-bdboEE-b_x0"/>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085850" y="3255645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23" name="Subgraph-3OhgUuZy3BU"/>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085850" y="2993707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25" name="Subgraph-jq-cmxiPgH0"/>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085850" y="6362700"/>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27" name="Subgraph-ritJzBKCGh0"/>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085850" y="34651950"/>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29" name="Subgraph-g53KY7gRVFA"/>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085850" y="40938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31" name="Subgraph-BcZZOIdpISw"/>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085850" y="28889325"/>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3" name="Subgraph-TTyoth20rNk"/>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85850" y="35175825"/>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35" name="Subgraph-mc8gZlOCNhc"/>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085850" y="15268575"/>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37" name="Subgraph-bC3a1osMYR8"/>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085850" y="41462325"/>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39" name="Subgraph-L7l5MSpv9e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085850" y="24698325"/>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41" name="Subgraph-nhU5voy-uzg"/>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085850" y="1631632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43" name="Subgraph-9ZXrkcS1hB8"/>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085850" y="3743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45" name="Subgraph-AspAxfAIiqk"/>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085850" y="41986200"/>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47" name="Subgraph-TyWyVD6M7YQ"/>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085850" y="25222200"/>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49" name="Subgraph-p24pyGQJd4c"/>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085850" y="2626995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51" name="Subgraph-9BYixihzhy4"/>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085850" y="4251007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53" name="Subgraph-ti7x9nmCmsk"/>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085850" y="12649200"/>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55" name="Subgraph-hrlkfiVT2TA"/>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085850" y="29413200"/>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57" name="Subgraph-qu6i2lgc-uY"/>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08585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59" name="Subgraph-IM_eJ5VWLS0"/>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085850" y="2784157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61" name="Subgraph-q2yJEc5KWVA"/>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085850" y="110775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3" name="Subgraph-u5F7YeS2ODU"/>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085850" y="43033950"/>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65" name="Subgraph-eQ0V8uvfB98"/>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085850" y="1474470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WrvsqR299MU"/>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085850"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DYBTTdmLqoY"/>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JbSg2UnK2k"/>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lHqBJZ6pvm0"/>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5KGnNiCe9bM"/>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C38ZX1BcGrE"/>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uqPALvUs0MU"/>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3Y0F1d8d4cM"/>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26AXRIC-nqQ"/>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tDQD5zv3cS4"/>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BjJ0udR7YrY"/>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D6bTuC-uekg"/>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03V-IgTVwXg"/>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OAh3y3j6qQE"/>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97gY63pYuGI"/>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H51AqAeP39Q"/>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5141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M1216" totalsRowShown="0" headerRowDxfId="300" dataDxfId="264">
  <autoFilter ref="A2:AM1216"/>
  <tableColumns count="39">
    <tableColumn id="1" name="Vertex 1" dataDxfId="249"/>
    <tableColumn id="2" name="Vertex 2" dataDxfId="247"/>
    <tableColumn id="3" name="Color" dataDxfId="248"/>
    <tableColumn id="4" name="Width" dataDxfId="273"/>
    <tableColumn id="11" name="Style" dataDxfId="272"/>
    <tableColumn id="5" name="Opacity" dataDxfId="271"/>
    <tableColumn id="6" name="Visibility" dataDxfId="270"/>
    <tableColumn id="10" name="Label" dataDxfId="269"/>
    <tableColumn id="12" name="Label Text Color" dataDxfId="268"/>
    <tableColumn id="13" name="Label Font Size" dataDxfId="267"/>
    <tableColumn id="14" name="Reciprocated?" dataDxfId="192"/>
    <tableColumn id="7" name="ID" dataDxfId="266"/>
    <tableColumn id="9" name="Dynamic Filter" dataDxfId="265"/>
    <tableColumn id="8" name="Add Your Own Columns Here" dataDxfId="246"/>
    <tableColumn id="15" name="Relationship" dataDxfId="245"/>
    <tableColumn id="16" name="Shared Commenter" dataDxfId="244"/>
    <tableColumn id="17" name="Video1 Comment" dataDxfId="243"/>
    <tableColumn id="18" name="Video2 Comment" dataDxfId="242"/>
    <tableColumn id="19" name="URLs In Video1 Comment" dataDxfId="241"/>
    <tableColumn id="20" name="URLs In Video2 Comment" dataDxfId="240"/>
    <tableColumn id="21" name="Domains In Video1 Comment" dataDxfId="239"/>
    <tableColumn id="22" name="Domains In Video2 Comment" dataDxfId="238"/>
    <tableColumn id="23" name="Hashtags In Video1 Comment" dataDxfId="237"/>
    <tableColumn id="24" name="Hashtags In Video2 Comment" dataDxfId="236"/>
    <tableColumn id="25" name="URLs In Both Video Comments" dataDxfId="235"/>
    <tableColumn id="26" name="Domains In Both Video Comments" dataDxfId="234"/>
    <tableColumn id="27" name="Hashtags In Both Video Comments" dataDxfId="233"/>
    <tableColumn id="28" name="Edge Weight"/>
    <tableColumn id="29" name="Vertex 1 Group" dataDxfId="207">
      <calculatedColumnFormula>REPLACE(INDEX(GroupVertices[Group], MATCH("~"&amp;Edges[[#This Row],[Vertex 1]],GroupVertices[Vertex],0)),1,1,"")</calculatedColumnFormula>
    </tableColumn>
    <tableColumn id="30" name="Vertex 2 Group" dataDxfId="168">
      <calculatedColumnFormula>REPLACE(INDEX(GroupVertices[Group], MATCH("~"&amp;Edges[[#This Row],[Vertex 2]],GroupVertices[Vertex],0)),1,1,"")</calculatedColumnFormula>
    </tableColumn>
    <tableColumn id="31" name="Sentiment List #1: List1 Word Count" dataDxfId="167"/>
    <tableColumn id="32" name="Sentiment List #1: List1 Word Percentage (%)" dataDxfId="166"/>
    <tableColumn id="33" name="Sentiment List #2: List2 Word Count" dataDxfId="165"/>
    <tableColumn id="34" name="Sentiment List #2: List2 Word Percentage (%)" dataDxfId="164"/>
    <tableColumn id="35" name="Sentiment List #3: List3 Word Count" dataDxfId="163"/>
    <tableColumn id="36" name="Sentiment List #3: List3 Word Percentage (%)" dataDxfId="162"/>
    <tableColumn id="37" name="Non-categorized Word Count" dataDxfId="161"/>
    <tableColumn id="38" name="Non-categorized Word Percentage (%)" dataDxfId="160"/>
    <tableColumn id="39" name="Edge Content Word Count" dataDxfId="1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82" totalsRowShown="0" headerRowDxfId="191" dataDxfId="190">
  <autoFilter ref="A1:G2582"/>
  <tableColumns count="7">
    <tableColumn id="1" name="Word" dataDxfId="189"/>
    <tableColumn id="2" name="Count" dataDxfId="188"/>
    <tableColumn id="3" name="Salience" dataDxfId="187"/>
    <tableColumn id="4" name="Group" dataDxfId="186"/>
    <tableColumn id="5" name="Word on Sentiment List #1: List1" dataDxfId="185"/>
    <tableColumn id="6" name="Word on Sentiment List #2: List2" dataDxfId="184"/>
    <tableColumn id="7" name="Word on Sentiment List #3: List3" dataDxfId="18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18" totalsRowShown="0" headerRowDxfId="182" dataDxfId="181">
  <autoFilter ref="A1:L1718"/>
  <tableColumns count="12">
    <tableColumn id="1" name="Word 1" dataDxfId="180"/>
    <tableColumn id="2" name="Word 2" dataDxfId="179"/>
    <tableColumn id="3" name="Count" dataDxfId="178"/>
    <tableColumn id="4" name="Salience" dataDxfId="177"/>
    <tableColumn id="5" name="Mutual Information" dataDxfId="176"/>
    <tableColumn id="6" name="Group" dataDxfId="175"/>
    <tableColumn id="7" name="Word1 on Sentiment List #1: List1" dataDxfId="174"/>
    <tableColumn id="8" name="Word1 on Sentiment List #2: List2" dataDxfId="173"/>
    <tableColumn id="9" name="Word1 on Sentiment List #3: List3" dataDxfId="172"/>
    <tableColumn id="10" name="Word2 on Sentiment List #1: List1" dataDxfId="171"/>
    <tableColumn id="11" name="Word2 on Sentiment List #2: List2" dataDxfId="170"/>
    <tableColumn id="12" name="Word2 on Sentiment List #3: List3" dataDxfId="16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4" totalsRowShown="0" headerRowDxfId="140" dataDxfId="139">
  <autoFilter ref="A2:C34"/>
  <tableColumns count="3">
    <tableColumn id="1" name="Group 1" dataDxfId="138"/>
    <tableColumn id="2" name="Group 2" dataDxfId="137"/>
    <tableColumn id="3" name="Edges" dataDxfId="13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33" dataDxfId="132">
  <autoFilter ref="A1:B7"/>
  <tableColumns count="2">
    <tableColumn id="1" name="Key" dataDxfId="118"/>
    <tableColumn id="2" name="Value" dataDxfId="11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22" dataDxfId="121">
  <autoFilter ref="A1:B11"/>
  <tableColumns count="2">
    <tableColumn id="1" name="Top 10 Vertices, Ranked by Betweenness Centrality" dataDxfId="120"/>
    <tableColumn id="2" name="Betweenness Centrality" dataDxfId="11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R11" totalsRowShown="0" headerRowDxfId="116" dataDxfId="115">
  <autoFilter ref="A1:R11"/>
  <tableColumns count="18">
    <tableColumn id="1" name="Top URLs In Video1 Comment in Entire Graph" dataDxfId="114"/>
    <tableColumn id="2" name="Entire Graph Count" dataDxfId="113"/>
    <tableColumn id="3" name="Top URLs In Video1 Comment in G1" dataDxfId="112"/>
    <tableColumn id="4" name="G1 Count" dataDxfId="111"/>
    <tableColumn id="5" name="Top URLs In Video1 Comment in G2" dataDxfId="110"/>
    <tableColumn id="6" name="G2 Count" dataDxfId="109"/>
    <tableColumn id="7" name="Top URLs In Video1 Comment in G3" dataDxfId="108"/>
    <tableColumn id="8" name="G3 Count" dataDxfId="107"/>
    <tableColumn id="9" name="Top URLs In Video1 Comment in G4" dataDxfId="106"/>
    <tableColumn id="10" name="G4 Count" dataDxfId="105"/>
    <tableColumn id="11" name="Top URLs In Video1 Comment in G5" dataDxfId="104"/>
    <tableColumn id="12" name="G5 Count" dataDxfId="103"/>
    <tableColumn id="13" name="Top URLs In Video1 Comment in G6" dataDxfId="102"/>
    <tableColumn id="14" name="G6 Count" dataDxfId="101"/>
    <tableColumn id="15" name="Top URLs In Video1 Comment in G7" dataDxfId="100"/>
    <tableColumn id="16" name="G7 Count" dataDxfId="99"/>
    <tableColumn id="17" name="Top URLs In Video1 Comment in G8" dataDxfId="98"/>
    <tableColumn id="18" name="G8 Count" dataDxfId="97"/>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R17" totalsRowShown="0" headerRowDxfId="95" dataDxfId="94">
  <autoFilter ref="A14:R17"/>
  <tableColumns count="18">
    <tableColumn id="1" name="Top Domains In Video1 Comment in Entire Graph" dataDxfId="93"/>
    <tableColumn id="2" name="Entire Graph Count" dataDxfId="92"/>
    <tableColumn id="3" name="Top Domains In Video1 Comment in G1" dataDxfId="91"/>
    <tableColumn id="4" name="G1 Count" dataDxfId="90"/>
    <tableColumn id="5" name="Top Domains In Video1 Comment in G2" dataDxfId="89"/>
    <tableColumn id="6" name="G2 Count" dataDxfId="88"/>
    <tableColumn id="7" name="Top Domains In Video1 Comment in G3" dataDxfId="87"/>
    <tableColumn id="8" name="G3 Count" dataDxfId="86"/>
    <tableColumn id="9" name="Top Domains In Video1 Comment in G4" dataDxfId="85"/>
    <tableColumn id="10" name="G4 Count" dataDxfId="84"/>
    <tableColumn id="11" name="Top Domains In Video1 Comment in G5" dataDxfId="83"/>
    <tableColumn id="12" name="G5 Count" dataDxfId="82"/>
    <tableColumn id="13" name="Top Domains In Video1 Comment in G6" dataDxfId="81"/>
    <tableColumn id="14" name="G6 Count" dataDxfId="80"/>
    <tableColumn id="15" name="Top Domains In Video1 Comment in G7" dataDxfId="79"/>
    <tableColumn id="16" name="G7 Count" dataDxfId="78"/>
    <tableColumn id="17" name="Top Domains In Video1 Comment in G8" dataDxfId="77"/>
    <tableColumn id="18" name="G8 Count" dataDxfId="76"/>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20:R21" totalsRowShown="0" headerRowDxfId="74" dataDxfId="73">
  <autoFilter ref="A20:R21"/>
  <tableColumns count="18">
    <tableColumn id="1" name="Top Hashtags In Video1 Comment in Entire Graph" dataDxfId="72"/>
    <tableColumn id="2" name="Entire Graph Count" dataDxfId="71"/>
    <tableColumn id="3" name="Top Hashtags In Video1 Comment in G1" dataDxfId="70"/>
    <tableColumn id="4" name="G1 Count" dataDxfId="69"/>
    <tableColumn id="5" name="Top Hashtags In Video1 Comment in G2" dataDxfId="68"/>
    <tableColumn id="6" name="G2 Count" dataDxfId="67"/>
    <tableColumn id="7" name="Top Hashtags In Video1 Comment in G3" dataDxfId="66"/>
    <tableColumn id="8" name="G3 Count" dataDxfId="65"/>
    <tableColumn id="9" name="Top Hashtags In Video1 Comment in G4" dataDxfId="64"/>
    <tableColumn id="10" name="G4 Count" dataDxfId="63"/>
    <tableColumn id="11" name="Top Hashtags In Video1 Comment in G5" dataDxfId="62"/>
    <tableColumn id="12" name="G5 Count" dataDxfId="61"/>
    <tableColumn id="13" name="Top Hashtags In Video1 Comment in G6" dataDxfId="60"/>
    <tableColumn id="14" name="G6 Count" dataDxfId="59"/>
    <tableColumn id="15" name="Top Hashtags In Video1 Comment in G7" dataDxfId="58"/>
    <tableColumn id="16" name="G7 Count" dataDxfId="57"/>
    <tableColumn id="17" name="Top Hashtags In Video1 Comment in G8" dataDxfId="56"/>
    <tableColumn id="18" name="G8 Count" dataDxfId="55"/>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23:R33" totalsRowShown="0" headerRowDxfId="53" dataDxfId="52">
  <autoFilter ref="A23:R33"/>
  <tableColumns count="18">
    <tableColumn id="1" name="Top Words in Description in Entire Graph" dataDxfId="51"/>
    <tableColumn id="2" name="Entire Graph Count" dataDxfId="50"/>
    <tableColumn id="3" name="Top Words in Description in G1" dataDxfId="49"/>
    <tableColumn id="4" name="G1 Count" dataDxfId="48"/>
    <tableColumn id="5" name="Top Words in Description in G2" dataDxfId="47"/>
    <tableColumn id="6" name="G2 Count" dataDxfId="46"/>
    <tableColumn id="7" name="Top Words in Description in G3" dataDxfId="45"/>
    <tableColumn id="8" name="G3 Count" dataDxfId="44"/>
    <tableColumn id="9" name="Top Words in Description in G4" dataDxfId="43"/>
    <tableColumn id="10" name="G4 Count" dataDxfId="42"/>
    <tableColumn id="11" name="Top Words in Description in G5" dataDxfId="41"/>
    <tableColumn id="12" name="G5 Count" dataDxfId="40"/>
    <tableColumn id="13" name="Top Words in Description in G6" dataDxfId="39"/>
    <tableColumn id="14" name="G6 Count" dataDxfId="38"/>
    <tableColumn id="15" name="Top Words in Description in G7" dataDxfId="37"/>
    <tableColumn id="16" name="G7 Count" dataDxfId="36"/>
    <tableColumn id="17" name="Top Words in Description in G8" dataDxfId="35"/>
    <tableColumn id="18" name="G8 Count" dataDxfId="3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I100" totalsRowShown="0" headerRowDxfId="299" dataDxfId="250">
  <autoFilter ref="A2:BI100"/>
  <sortState ref="A3:BI100">
    <sortCondition descending="1" sortBy="value" ref="V3:V100"/>
  </sortState>
  <tableColumns count="61">
    <tableColumn id="1" name="Vertex" dataDxfId="263"/>
    <tableColumn id="61" name="Subgraph"/>
    <tableColumn id="2" name="Color" dataDxfId="262"/>
    <tableColumn id="5" name="Shape" dataDxfId="261"/>
    <tableColumn id="6" name="Size" dataDxfId="260"/>
    <tableColumn id="4" name="Opacity" dataDxfId="220"/>
    <tableColumn id="7" name="Image File" dataDxfId="218"/>
    <tableColumn id="3" name="Visibility" dataDxfId="219"/>
    <tableColumn id="10" name="Label" dataDxfId="259"/>
    <tableColumn id="16" name="Label Fill Color" dataDxfId="258"/>
    <tableColumn id="9" name="Label Position" dataDxfId="232"/>
    <tableColumn id="8" name="Tooltip" dataDxfId="230"/>
    <tableColumn id="18" name="Layout Order" dataDxfId="231"/>
    <tableColumn id="13" name="X" dataDxfId="257"/>
    <tableColumn id="14" name="Y" dataDxfId="256"/>
    <tableColumn id="12" name="Locked?" dataDxfId="255"/>
    <tableColumn id="19" name="Polar R" dataDxfId="254"/>
    <tableColumn id="20" name="Polar Angle" dataDxfId="253"/>
    <tableColumn id="21" name="Degree" dataDxfId="129"/>
    <tableColumn id="22" name="In-Degree" dataDxfId="128"/>
    <tableColumn id="23" name="Out-Degree" dataDxfId="126"/>
    <tableColumn id="24" name="Betweenness Centrality" dataDxfId="127"/>
    <tableColumn id="25" name="Closeness Centrality" dataDxfId="131"/>
    <tableColumn id="26" name="Eigenvector Centrality" dataDxfId="130"/>
    <tableColumn id="15" name="PageRank" dataDxfId="125"/>
    <tableColumn id="27" name="Clustering Coefficient" dataDxfId="123"/>
    <tableColumn id="29" name="Reciprocated Vertex Pair Ratio" dataDxfId="124"/>
    <tableColumn id="11" name="ID" dataDxfId="252"/>
    <tableColumn id="28" name="Dynamic Filter" dataDxfId="251"/>
    <tableColumn id="17" name="Add Your Own Columns Here" dataDxfId="229"/>
    <tableColumn id="30" name="Title" dataDxfId="228"/>
    <tableColumn id="31" name="Description" dataDxfId="227"/>
    <tableColumn id="32" name="Tags" dataDxfId="226"/>
    <tableColumn id="33" name="Author" dataDxfId="225"/>
    <tableColumn id="34" name="Created Date (UTC)" dataDxfId="224"/>
    <tableColumn id="35" name="Views" dataDxfId="223"/>
    <tableColumn id="36" name="Comments" dataDxfId="222"/>
    <tableColumn id="37" name="Likes Count" dataDxfId="221"/>
    <tableColumn id="38" name="Dislikes Count" dataDxfId="217"/>
    <tableColumn id="39" name="Custom Menu Item Text" dataDxfId="216"/>
    <tableColumn id="40" name="Custom Menu Item Action" dataDxfId="208"/>
    <tableColumn id="41" name="Vertex Group" dataDxfId="158">
      <calculatedColumnFormula>REPLACE(INDEX(GroupVertices[Group], MATCH("~"&amp;Vertices[[#This Row],[Vertex]],GroupVertices[Vertex],0)),1,1,"")</calculatedColumnFormula>
    </tableColumn>
    <tableColumn id="42" name="Sentiment List #1: List1 Word Count" dataDxfId="157"/>
    <tableColumn id="43" name="Sentiment List #1: List1 Word Percentage (%)" dataDxfId="156"/>
    <tableColumn id="44" name="Sentiment List #2: List2 Word Count" dataDxfId="155"/>
    <tableColumn id="45" name="Sentiment List #2: List2 Word Percentage (%)" dataDxfId="154"/>
    <tableColumn id="46" name="Sentiment List #3: List3 Word Count" dataDxfId="153"/>
    <tableColumn id="47" name="Sentiment List #3: List3 Word Percentage (%)" dataDxfId="152"/>
    <tableColumn id="48" name="Non-categorized Word Count" dataDxfId="151"/>
    <tableColumn id="49" name="Non-categorized Word Percentage (%)" dataDxfId="150"/>
    <tableColumn id="50" name="Vertex Content Word Count" dataDxfId="10"/>
    <tableColumn id="51" name="URLs In Video1 Comment by Count" dataDxfId="9"/>
    <tableColumn id="52" name="URLs In Video1 Comment by Salience" dataDxfId="8"/>
    <tableColumn id="53" name="Domains In Video1 Comment by Count" dataDxfId="7"/>
    <tableColumn id="54" name="Domains In Video1 Comment by Salience" dataDxfId="6"/>
    <tableColumn id="55" name="Hashtags In Video1 Comment by Count" dataDxfId="5"/>
    <tableColumn id="56" name="Hashtags In Video1 Comment by Salience" dataDxfId="4"/>
    <tableColumn id="57" name="Top Words in Description by Count" dataDxfId="3"/>
    <tableColumn id="58" name="Top Words in Description by Salience" dataDxfId="2"/>
    <tableColumn id="59" name="Top Word Pairs in Description by Count" dataDxfId="1"/>
    <tableColumn id="60" name="Top Word Pairs in Description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36:R46" totalsRowShown="0" headerRowDxfId="32" dataDxfId="31">
  <autoFilter ref="A36:R46"/>
  <tableColumns count="18">
    <tableColumn id="1" name="Top Word Pairs in Description in Entire Graph" dataDxfId="30"/>
    <tableColumn id="2" name="Entire Graph Count" dataDxfId="29"/>
    <tableColumn id="3" name="Top Word Pairs in Description in G1" dataDxfId="28"/>
    <tableColumn id="4" name="G1 Count" dataDxfId="27"/>
    <tableColumn id="5" name="Top Word Pairs in Description in G2" dataDxfId="26"/>
    <tableColumn id="6" name="G2 Count" dataDxfId="25"/>
    <tableColumn id="7" name="Top Word Pairs in Description in G3" dataDxfId="24"/>
    <tableColumn id="8" name="G3 Count" dataDxfId="23"/>
    <tableColumn id="9" name="Top Word Pairs in Description in G4" dataDxfId="22"/>
    <tableColumn id="10" name="G4 Count" dataDxfId="21"/>
    <tableColumn id="11" name="Top Word Pairs in Description in G5" dataDxfId="20"/>
    <tableColumn id="12" name="G5 Count" dataDxfId="19"/>
    <tableColumn id="13" name="Top Word Pairs in Description in G6" dataDxfId="18"/>
    <tableColumn id="14" name="G6 Count" dataDxfId="17"/>
    <tableColumn id="15" name="Top Word Pairs in Description in G7" dataDxfId="16"/>
    <tableColumn id="16" name="G7 Count" dataDxfId="15"/>
    <tableColumn id="17" name="Top Word Pairs in Description in G8" dataDxfId="14"/>
    <tableColumn id="18" name="G8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0" totalsRowShown="0" headerRowDxfId="298">
  <autoFilter ref="A2:AL10"/>
  <tableColumns count="38">
    <tableColumn id="1" name="Group" dataDxfId="215"/>
    <tableColumn id="2" name="Vertex Color" dataDxfId="214"/>
    <tableColumn id="3" name="Vertex Shape" dataDxfId="212"/>
    <tableColumn id="22" name="Visibility" dataDxfId="213"/>
    <tableColumn id="4" name="Collapsed?"/>
    <tableColumn id="18" name="Label" dataDxfId="297"/>
    <tableColumn id="20" name="Collapsed X"/>
    <tableColumn id="21" name="Collapsed Y"/>
    <tableColumn id="6" name="ID" dataDxfId="296"/>
    <tableColumn id="19" name="Collapsed Properties" dataDxfId="206"/>
    <tableColumn id="5" name="Vertices" dataDxfId="205"/>
    <tableColumn id="7" name="Unique Edges" dataDxfId="204"/>
    <tableColumn id="8" name="Edges With Duplicates" dataDxfId="203"/>
    <tableColumn id="9" name="Total Edges" dataDxfId="202"/>
    <tableColumn id="10" name="Self-Loops" dataDxfId="201"/>
    <tableColumn id="24" name="Reciprocated Vertex Pair Ratio" dataDxfId="200"/>
    <tableColumn id="25" name="Reciprocated Edge Ratio" dataDxfId="199"/>
    <tableColumn id="11" name="Connected Components" dataDxfId="198"/>
    <tableColumn id="12" name="Single-Vertex Connected Components" dataDxfId="197"/>
    <tableColumn id="13" name="Maximum Vertices in a Connected Component" dataDxfId="196"/>
    <tableColumn id="14" name="Maximum Edges in a Connected Component" dataDxfId="195"/>
    <tableColumn id="15" name="Maximum Geodesic Distance (Diameter)" dataDxfId="194"/>
    <tableColumn id="16" name="Average Geodesic Distance" dataDxfId="193"/>
    <tableColumn id="17" name="Graph Density" dataDxfId="149"/>
    <tableColumn id="23" name="Sentiment List #1: List1 Word Count" dataDxfId="148"/>
    <tableColumn id="26" name="Sentiment List #1: List1 Word Percentage (%)" dataDxfId="147"/>
    <tableColumn id="27" name="Sentiment List #2: List2 Word Count" dataDxfId="146"/>
    <tableColumn id="28" name="Sentiment List #2: List2 Word Percentage (%)" dataDxfId="145"/>
    <tableColumn id="29" name="Sentiment List #3: List3 Word Count" dataDxfId="144"/>
    <tableColumn id="30" name="Sentiment List #3: List3 Word Percentage (%)" dataDxfId="143"/>
    <tableColumn id="31" name="Non-categorized Word Count" dataDxfId="142"/>
    <tableColumn id="32" name="Non-categorized Word Percentage (%)" dataDxfId="141"/>
    <tableColumn id="33" name="Group Content Word Count" dataDxfId="96"/>
    <tableColumn id="34" name="Top URLs In Video1 Comment" dataDxfId="75"/>
    <tableColumn id="35" name="Top Domains In Video1 Comment" dataDxfId="54"/>
    <tableColumn id="36" name="Top Hashtags In Video1 Comment" dataDxfId="33"/>
    <tableColumn id="37" name="Top Words in Description" dataDxfId="12"/>
    <tableColumn id="38" name="Top Word Pairs in Description"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295" dataDxfId="294">
  <autoFilter ref="A1:C99"/>
  <tableColumns count="3">
    <tableColumn id="1" name="Group" dataDxfId="211"/>
    <tableColumn id="2" name="Vertex" dataDxfId="210"/>
    <tableColumn id="3" name="Vertex ID" dataDxfId="20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5"/>
    <tableColumn id="2" name="Value" dataDxfId="13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3"/>
    <tableColumn id="2" name="Degree Frequency" dataDxfId="292">
      <calculatedColumnFormula>COUNTIF(Vertices[Degree], "&gt;= " &amp; D2) - COUNTIF(Vertices[Degree], "&gt;=" &amp; D3)</calculatedColumnFormula>
    </tableColumn>
    <tableColumn id="3" name="In-Degree Bin" dataDxfId="291"/>
    <tableColumn id="4" name="In-Degree Frequency" dataDxfId="290">
      <calculatedColumnFormula>COUNTIF(Vertices[In-Degree], "&gt;= " &amp; F2) - COUNTIF(Vertices[In-Degree], "&gt;=" &amp; F3)</calculatedColumnFormula>
    </tableColumn>
    <tableColumn id="5" name="Out-Degree Bin" dataDxfId="289"/>
    <tableColumn id="6" name="Out-Degree Frequency" dataDxfId="288">
      <calculatedColumnFormula>COUNTIF(Vertices[Out-Degree], "&gt;= " &amp; H2) - COUNTIF(Vertices[Out-Degree], "&gt;=" &amp; H3)</calculatedColumnFormula>
    </tableColumn>
    <tableColumn id="7" name="Betweenness Centrality Bin" dataDxfId="287"/>
    <tableColumn id="8" name="Betweenness Centrality Frequency" dataDxfId="286">
      <calculatedColumnFormula>COUNTIF(Vertices[Betweenness Centrality], "&gt;= " &amp; J2) - COUNTIF(Vertices[Betweenness Centrality], "&gt;=" &amp; J3)</calculatedColumnFormula>
    </tableColumn>
    <tableColumn id="9" name="Closeness Centrality Bin" dataDxfId="285"/>
    <tableColumn id="10" name="Closeness Centrality Frequency" dataDxfId="284">
      <calculatedColumnFormula>COUNTIF(Vertices[Closeness Centrality], "&gt;= " &amp; L2) - COUNTIF(Vertices[Closeness Centrality], "&gt;=" &amp; L3)</calculatedColumnFormula>
    </tableColumn>
    <tableColumn id="11" name="Eigenvector Centrality Bin" dataDxfId="283"/>
    <tableColumn id="12" name="Eigenvector Centrality Frequency" dataDxfId="282">
      <calculatedColumnFormula>COUNTIF(Vertices[Eigenvector Centrality], "&gt;= " &amp; N2) - COUNTIF(Vertices[Eigenvector Centrality], "&gt;=" &amp; N3)</calculatedColumnFormula>
    </tableColumn>
    <tableColumn id="18" name="PageRank Bin" dataDxfId="281"/>
    <tableColumn id="17" name="PageRank Frequency" dataDxfId="280">
      <calculatedColumnFormula>COUNTIF(Vertices[Eigenvector Centrality], "&gt;= " &amp; P2) - COUNTIF(Vertices[Eigenvector Centrality], "&gt;=" &amp; P3)</calculatedColumnFormula>
    </tableColumn>
    <tableColumn id="13" name="Clustering Coefficient Bin" dataDxfId="279"/>
    <tableColumn id="14" name="Clustering Coefficient Frequency" dataDxfId="278">
      <calculatedColumnFormula>COUNTIF(Vertices[Clustering Coefficient], "&gt;= " &amp; R2) - COUNTIF(Vertices[Clustering Coefficient], "&gt;=" &amp; R3)</calculatedColumnFormula>
    </tableColumn>
    <tableColumn id="15" name="Dynamic Filter Bin" dataDxfId="277"/>
    <tableColumn id="16" name="Dynamic Filter Frequency" dataDxfId="2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7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x8TuG7Or5y8&amp;amp;t=2m28s" TargetMode="External" /><Relationship Id="rId2" Type="http://schemas.openxmlformats.org/officeDocument/2006/relationships/hyperlink" Target="https://www.youtube.com/watch?v=sQ6S7XzvFgw&amp;amp;t=1m46s" TargetMode="External" /><Relationship Id="rId3" Type="http://schemas.openxmlformats.org/officeDocument/2006/relationships/hyperlink" Target="https://www.youtube.com/watch?v=9ZXrkcS1hB8&amp;amp;t=1m05s" TargetMode="External" /><Relationship Id="rId4" Type="http://schemas.openxmlformats.org/officeDocument/2006/relationships/hyperlink" Target="http://www.youtube.com/results?search_query=%233141" TargetMode="External" /><Relationship Id="rId5" Type="http://schemas.openxmlformats.org/officeDocument/2006/relationships/hyperlink" Target="https://www.youtube.com/watch?v=eQ0V8uvfB98&amp;amp;t=5m24s" TargetMode="External" /><Relationship Id="rId6" Type="http://schemas.openxmlformats.org/officeDocument/2006/relationships/hyperlink" Target="https://www.youtube.com/watch?v=eQ0V8uvfB98&amp;amp;t=8m12s" TargetMode="External" /><Relationship Id="rId7" Type="http://schemas.openxmlformats.org/officeDocument/2006/relationships/hyperlink" Target="https://www.youtube.com/watch?v=q2yJEc5KWVA&amp;amp;t=3m25s" TargetMode="External" /><Relationship Id="rId8" Type="http://schemas.openxmlformats.org/officeDocument/2006/relationships/hyperlink" Target="https://www.youtube.com/watch?v=BcZZOIdpISw&amp;amp;t=6m14s" TargetMode="External" /><Relationship Id="rId9" Type="http://schemas.openxmlformats.org/officeDocument/2006/relationships/hyperlink" Target="https://www.youtube.com/watch?v=fAdnFU3uVAE&amp;amp;t=2m26s" TargetMode="External" /><Relationship Id="rId10" Type="http://schemas.openxmlformats.org/officeDocument/2006/relationships/hyperlink" Target="https://www.youtube.com/watch?v=x8TuG7Or5y8&amp;amp;t=2m28s" TargetMode="External" /><Relationship Id="rId11" Type="http://schemas.openxmlformats.org/officeDocument/2006/relationships/hyperlink" Target="https://www.youtube.com/watch?v=sQ6S7XzvFgw&amp;amp;t=1m46s" TargetMode="External" /><Relationship Id="rId12" Type="http://schemas.openxmlformats.org/officeDocument/2006/relationships/hyperlink" Target="https://www.youtube.com/watch?v=x8TuG7Or5y8&amp;amp;t=2m23s" TargetMode="External" /><Relationship Id="rId13" Type="http://schemas.openxmlformats.org/officeDocument/2006/relationships/hyperlink" Target="https://www.youtube.com/watch?v=iqpABS2UMRc&amp;amp;t=2m10s" TargetMode="External" /><Relationship Id="rId14" Type="http://schemas.openxmlformats.org/officeDocument/2006/relationships/hyperlink" Target="http://www.youtube.com/results?search_query=%233141" TargetMode="External" /><Relationship Id="rId15" Type="http://schemas.openxmlformats.org/officeDocument/2006/relationships/hyperlink" Target="https://www.youtube.com/watch?v=BcZZOIdpISw&amp;amp;t=6m14s" TargetMode="External" /><Relationship Id="rId16" Type="http://schemas.openxmlformats.org/officeDocument/2006/relationships/hyperlink" Target="https://www.youtube.com/watch?v=fAdnFU3uVAE&amp;amp;t=2m26s" TargetMode="External" /><Relationship Id="rId17" Type="http://schemas.openxmlformats.org/officeDocument/2006/relationships/hyperlink" Target="https://www.youtube.com/watch?v=fAdnFU3uVAE&amp;amp;t=3m35s" TargetMode="External" /><Relationship Id="rId18" Type="http://schemas.openxmlformats.org/officeDocument/2006/relationships/hyperlink" Target="https://www.youtube.com/watch?v=PMW01KBO_R8&amp;amp;t=4m30s" TargetMode="External" /><Relationship Id="rId19" Type="http://schemas.openxmlformats.org/officeDocument/2006/relationships/hyperlink" Target="https://www.youtube.com/watch?v=9ZXrkcS1hB8&amp;amp;t=1m05s" TargetMode="External" /><Relationship Id="rId20" Type="http://schemas.openxmlformats.org/officeDocument/2006/relationships/hyperlink" Target="https://www.youtube.com/watch?v=eQ0V8uvfB98&amp;amp;t=8m12s" TargetMode="External" /><Relationship Id="rId21" Type="http://schemas.openxmlformats.org/officeDocument/2006/relationships/hyperlink" Target="https://www.youtube.com/watch?v=eQ0V8uvfB98&amp;amp;t=5m24s" TargetMode="External" /><Relationship Id="rId22" Type="http://schemas.openxmlformats.org/officeDocument/2006/relationships/hyperlink" Target="https://www.youtube.com/watch?v=sy6DtXbPzeM&amp;amp;t=8m07s" TargetMode="External" /><Relationship Id="rId23" Type="http://schemas.openxmlformats.org/officeDocument/2006/relationships/hyperlink" Target="http://www.youtube.com/results?search_query=%233141" TargetMode="External" /><Relationship Id="rId24" Type="http://schemas.openxmlformats.org/officeDocument/2006/relationships/hyperlink" Target="https://www.youtube.com/watch?v=q2yJEc5KWVA&amp;amp;t=3m25s" TargetMode="External" /><Relationship Id="rId25" Type="http://schemas.openxmlformats.org/officeDocument/2006/relationships/hyperlink" Target="https://www.youtube.com/watch?v=JqQAFodjYBk&amp;amp;t=7m37s" TargetMode="External" /><Relationship Id="rId26" Type="http://schemas.openxmlformats.org/officeDocument/2006/relationships/hyperlink" Target="https://www.youtube.com/watch?v=NPDS33uD5j4&amp;amp;t=6m54s" TargetMode="Externa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216"/>
  <sheetViews>
    <sheetView workbookViewId="0" topLeftCell="A1">
      <pane xSplit="2" ySplit="2" topLeftCell="Z3" activePane="bottomRight" state="frozen"/>
      <selection pane="topRight" activeCell="C1" sqref="C1"/>
      <selection pane="bottomLeft" activeCell="A3" sqref="A3"/>
      <selection pane="bottomRight" activeCell="AO3" sqref="AO3"/>
    </sheetView>
  </sheetViews>
  <sheetFormatPr defaultColWidth="9.140625" defaultRowHeight="15"/>
  <cols>
    <col min="1" max="2" width="15.8515625" style="1" bestFit="1" customWidth="1"/>
    <col min="3" max="3" width="16.28125" style="0" bestFit="1" customWidth="1"/>
    <col min="4" max="4" width="8.7109375" style="2" bestFit="1" customWidth="1"/>
    <col min="5" max="5" width="12.421875" style="2" bestFit="1" customWidth="1"/>
    <col min="6" max="6" width="10.00390625" style="2" bestFit="1" customWidth="1"/>
    <col min="7" max="7" width="11.140625" style="0" bestFit="1" customWidth="1"/>
    <col min="8" max="8" width="8.00390625" style="1" bestFit="1" customWidth="1"/>
    <col min="9" max="9" width="12.7109375" style="0" bestFit="1" customWidth="1"/>
    <col min="10" max="10" width="12.8515625" style="0" bestFit="1" customWidth="1"/>
    <col min="11" max="11" width="16.00390625" style="0" bestFit="1" customWidth="1"/>
    <col min="12" max="12" width="11.00390625" style="0" bestFit="1" customWidth="1"/>
    <col min="13" max="13" width="11.28125" style="0" bestFit="1" customWidth="1"/>
    <col min="14" max="14" width="16.421875" style="0" bestFit="1" customWidth="1"/>
    <col min="15" max="15" width="18.140625" style="0" bestFit="1" customWidth="1"/>
    <col min="16" max="16" width="33.140625" style="0" bestFit="1" customWidth="1"/>
    <col min="17" max="18" width="255.7109375" style="0" bestFit="1" customWidth="1"/>
    <col min="19" max="19" width="236.421875" style="0" bestFit="1" customWidth="1"/>
    <col min="20" max="20" width="178.140625" style="0" bestFit="1" customWidth="1"/>
    <col min="21" max="21" width="39.8515625" style="0" bestFit="1" customWidth="1"/>
    <col min="22" max="22" width="38.00390625" style="0" bestFit="1" customWidth="1"/>
    <col min="23" max="24" width="20.7109375" style="0" bestFit="1" customWidth="1"/>
    <col min="25" max="25" width="255.7109375" style="0" bestFit="1" customWidth="1"/>
    <col min="26" max="26" width="59.140625" style="0" bestFit="1" customWidth="1"/>
    <col min="27" max="27" width="18.7109375" style="0" bestFit="1" customWidth="1"/>
    <col min="28" max="28" width="14.421875" style="0" customWidth="1"/>
    <col min="29" max="30" width="11.140625" style="0" bestFit="1" customWidth="1"/>
    <col min="31" max="31" width="19.7109375" style="0" bestFit="1" customWidth="1"/>
    <col min="32" max="32" width="24.28125" style="0" bestFit="1" customWidth="1"/>
    <col min="33" max="33" width="19.7109375" style="0" bestFit="1" customWidth="1"/>
    <col min="34" max="34" width="24.28125" style="0" bestFit="1" customWidth="1"/>
    <col min="35" max="35" width="19.7109375" style="0" bestFit="1" customWidth="1"/>
    <col min="36" max="36" width="24.28125" style="0" bestFit="1" customWidth="1"/>
    <col min="37" max="37" width="18.57421875" style="0" bestFit="1" customWidth="1"/>
    <col min="38" max="38" width="24.140625" style="0" bestFit="1" customWidth="1"/>
    <col min="39" max="39" width="15.7109375" style="0" bestFit="1" customWidth="1"/>
  </cols>
  <sheetData>
    <row r="1" spans="3:14" ht="15">
      <c r="C1" s="14" t="s">
        <v>39</v>
      </c>
      <c r="D1" s="15"/>
      <c r="E1" s="15"/>
      <c r="F1" s="15"/>
      <c r="G1" s="14"/>
      <c r="H1" s="12" t="s">
        <v>43</v>
      </c>
      <c r="I1" s="49"/>
      <c r="J1" s="49"/>
      <c r="K1" s="30" t="s">
        <v>42</v>
      </c>
      <c r="L1" s="16" t="s">
        <v>40</v>
      </c>
      <c r="M1" s="16"/>
      <c r="N1" s="13" t="s">
        <v>41</v>
      </c>
    </row>
    <row r="2" spans="1:39"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t="s">
        <v>2183</v>
      </c>
      <c r="AC2" s="7" t="s">
        <v>2201</v>
      </c>
      <c r="AD2" s="7" t="s">
        <v>2202</v>
      </c>
      <c r="AE2" s="51" t="s">
        <v>3383</v>
      </c>
      <c r="AF2" s="51" t="s">
        <v>3384</v>
      </c>
      <c r="AG2" s="51" t="s">
        <v>3385</v>
      </c>
      <c r="AH2" s="51" t="s">
        <v>3386</v>
      </c>
      <c r="AI2" s="51" t="s">
        <v>3387</v>
      </c>
      <c r="AJ2" s="51" t="s">
        <v>3388</v>
      </c>
      <c r="AK2" s="51" t="s">
        <v>3389</v>
      </c>
      <c r="AL2" s="51" t="s">
        <v>3390</v>
      </c>
      <c r="AM2" s="51" t="s">
        <v>3391</v>
      </c>
    </row>
    <row r="3" spans="1:39" ht="15" customHeight="1">
      <c r="A3" s="62" t="s">
        <v>222</v>
      </c>
      <c r="B3" s="62" t="s">
        <v>238</v>
      </c>
      <c r="C3" s="63" t="s">
        <v>3597</v>
      </c>
      <c r="D3" s="64">
        <v>6.578947368421053</v>
      </c>
      <c r="E3" s="65" t="s">
        <v>136</v>
      </c>
      <c r="F3" s="66">
        <v>29.056603773584907</v>
      </c>
      <c r="G3" s="63"/>
      <c r="H3" s="67"/>
      <c r="I3" s="68"/>
      <c r="J3" s="68"/>
      <c r="K3" s="31" t="s">
        <v>65</v>
      </c>
      <c r="L3" s="69">
        <v>3</v>
      </c>
      <c r="M3" s="69"/>
      <c r="N3" s="70"/>
      <c r="O3" s="77" t="s">
        <v>305</v>
      </c>
      <c r="P3" s="77" t="s">
        <v>306</v>
      </c>
      <c r="Q3" s="77" t="s">
        <v>1238</v>
      </c>
      <c r="R3" s="77" t="s">
        <v>1239</v>
      </c>
      <c r="S3" s="77"/>
      <c r="T3" s="77"/>
      <c r="U3" s="77"/>
      <c r="V3" s="77"/>
      <c r="W3" s="80" t="s">
        <v>1674</v>
      </c>
      <c r="X3" s="80" t="s">
        <v>1674</v>
      </c>
      <c r="Y3" s="77"/>
      <c r="Z3" s="77"/>
      <c r="AA3" s="80" t="s">
        <v>1674</v>
      </c>
      <c r="AB3" s="79">
        <v>7</v>
      </c>
      <c r="AC3" s="80" t="str">
        <f>REPLACE(INDEX(GroupVertices[Group],MATCH("~"&amp;Edges[[#This Row],[Vertex 1]],GroupVertices[Vertex],0)),1,1,"")</f>
        <v>5</v>
      </c>
      <c r="AD3" s="80" t="str">
        <f>REPLACE(INDEX(GroupVertices[Group],MATCH("~"&amp;Edges[[#This Row],[Vertex 2]],GroupVertices[Vertex],0)),1,1,"")</f>
        <v>5</v>
      </c>
      <c r="AE3" s="105"/>
      <c r="AF3" s="105"/>
      <c r="AG3" s="105"/>
      <c r="AH3" s="105"/>
      <c r="AI3" s="105"/>
      <c r="AJ3" s="105"/>
      <c r="AK3" s="105"/>
      <c r="AL3" s="105"/>
      <c r="AM3" s="105"/>
    </row>
    <row r="4" spans="1:39" ht="15" customHeight="1">
      <c r="A4" s="62" t="s">
        <v>222</v>
      </c>
      <c r="B4" s="62" t="s">
        <v>238</v>
      </c>
      <c r="C4" s="63" t="s">
        <v>3597</v>
      </c>
      <c r="D4" s="64">
        <v>6.578947368421053</v>
      </c>
      <c r="E4" s="65" t="s">
        <v>136</v>
      </c>
      <c r="F4" s="66">
        <v>29.056603773584907</v>
      </c>
      <c r="G4" s="63"/>
      <c r="H4" s="67"/>
      <c r="I4" s="68"/>
      <c r="J4" s="68"/>
      <c r="K4" s="31" t="s">
        <v>65</v>
      </c>
      <c r="L4" s="76">
        <v>4</v>
      </c>
      <c r="M4" s="76"/>
      <c r="N4" s="70"/>
      <c r="O4" s="78" t="s">
        <v>305</v>
      </c>
      <c r="P4" s="78" t="s">
        <v>306</v>
      </c>
      <c r="Q4" s="78" t="s">
        <v>643</v>
      </c>
      <c r="R4" s="78" t="s">
        <v>1239</v>
      </c>
      <c r="S4" s="78"/>
      <c r="T4" s="78"/>
      <c r="U4" s="78"/>
      <c r="V4" s="78"/>
      <c r="W4" s="81" t="s">
        <v>1674</v>
      </c>
      <c r="X4" s="81" t="s">
        <v>1674</v>
      </c>
      <c r="Y4" s="78"/>
      <c r="Z4" s="78"/>
      <c r="AA4" s="81" t="s">
        <v>1674</v>
      </c>
      <c r="AB4" s="79">
        <v>7</v>
      </c>
      <c r="AC4" s="80" t="str">
        <f>REPLACE(INDEX(GroupVertices[Group],MATCH("~"&amp;Edges[[#This Row],[Vertex 1]],GroupVertices[Vertex],0)),1,1,"")</f>
        <v>5</v>
      </c>
      <c r="AD4" s="80" t="str">
        <f>REPLACE(INDEX(GroupVertices[Group],MATCH("~"&amp;Edges[[#This Row],[Vertex 2]],GroupVertices[Vertex],0)),1,1,"")</f>
        <v>5</v>
      </c>
      <c r="AE4" s="105"/>
      <c r="AF4" s="105"/>
      <c r="AG4" s="105"/>
      <c r="AH4" s="105"/>
      <c r="AI4" s="105"/>
      <c r="AJ4" s="105"/>
      <c r="AK4" s="105"/>
      <c r="AL4" s="105"/>
      <c r="AM4" s="105"/>
    </row>
    <row r="5" spans="1:39" ht="15">
      <c r="A5" s="62" t="s">
        <v>222</v>
      </c>
      <c r="B5" s="62" t="s">
        <v>238</v>
      </c>
      <c r="C5" s="63" t="s">
        <v>3597</v>
      </c>
      <c r="D5" s="64">
        <v>6.578947368421053</v>
      </c>
      <c r="E5" s="65" t="s">
        <v>136</v>
      </c>
      <c r="F5" s="66">
        <v>29.056603773584907</v>
      </c>
      <c r="G5" s="63"/>
      <c r="H5" s="67"/>
      <c r="I5" s="68"/>
      <c r="J5" s="68"/>
      <c r="K5" s="31" t="s">
        <v>65</v>
      </c>
      <c r="L5" s="76">
        <v>5</v>
      </c>
      <c r="M5" s="76"/>
      <c r="N5" s="70"/>
      <c r="O5" s="78" t="s">
        <v>305</v>
      </c>
      <c r="P5" s="78" t="s">
        <v>306</v>
      </c>
      <c r="Q5" s="78" t="s">
        <v>644</v>
      </c>
      <c r="R5" s="78" t="s">
        <v>1239</v>
      </c>
      <c r="S5" s="78"/>
      <c r="T5" s="78"/>
      <c r="U5" s="78"/>
      <c r="V5" s="78"/>
      <c r="W5" s="81" t="s">
        <v>1674</v>
      </c>
      <c r="X5" s="81" t="s">
        <v>1674</v>
      </c>
      <c r="Y5" s="78"/>
      <c r="Z5" s="78"/>
      <c r="AA5" s="81" t="s">
        <v>1674</v>
      </c>
      <c r="AB5" s="79">
        <v>7</v>
      </c>
      <c r="AC5" s="80" t="str">
        <f>REPLACE(INDEX(GroupVertices[Group],MATCH("~"&amp;Edges[[#This Row],[Vertex 1]],GroupVertices[Vertex],0)),1,1,"")</f>
        <v>5</v>
      </c>
      <c r="AD5" s="80" t="str">
        <f>REPLACE(INDEX(GroupVertices[Group],MATCH("~"&amp;Edges[[#This Row],[Vertex 2]],GroupVertices[Vertex],0)),1,1,"")</f>
        <v>5</v>
      </c>
      <c r="AE5" s="105"/>
      <c r="AF5" s="105"/>
      <c r="AG5" s="105"/>
      <c r="AH5" s="105"/>
      <c r="AI5" s="105"/>
      <c r="AJ5" s="105"/>
      <c r="AK5" s="105"/>
      <c r="AL5" s="105"/>
      <c r="AM5" s="105"/>
    </row>
    <row r="6" spans="1:39" ht="15">
      <c r="A6" s="62" t="s">
        <v>222</v>
      </c>
      <c r="B6" s="62" t="s">
        <v>238</v>
      </c>
      <c r="C6" s="63" t="s">
        <v>3597</v>
      </c>
      <c r="D6" s="64">
        <v>6.578947368421053</v>
      </c>
      <c r="E6" s="65" t="s">
        <v>136</v>
      </c>
      <c r="F6" s="66">
        <v>29.056603773584907</v>
      </c>
      <c r="G6" s="63"/>
      <c r="H6" s="67"/>
      <c r="I6" s="68"/>
      <c r="J6" s="68"/>
      <c r="K6" s="31" t="s">
        <v>65</v>
      </c>
      <c r="L6" s="76">
        <v>6</v>
      </c>
      <c r="M6" s="76"/>
      <c r="N6" s="70"/>
      <c r="O6" s="78" t="s">
        <v>305</v>
      </c>
      <c r="P6" s="78" t="s">
        <v>307</v>
      </c>
      <c r="Q6" s="78" t="s">
        <v>645</v>
      </c>
      <c r="R6" s="78" t="s">
        <v>1240</v>
      </c>
      <c r="S6" s="78"/>
      <c r="T6" s="78"/>
      <c r="U6" s="78"/>
      <c r="V6" s="78"/>
      <c r="W6" s="81" t="s">
        <v>1674</v>
      </c>
      <c r="X6" s="81" t="s">
        <v>1674</v>
      </c>
      <c r="Y6" s="78"/>
      <c r="Z6" s="78"/>
      <c r="AA6" s="81" t="s">
        <v>1674</v>
      </c>
      <c r="AB6" s="79">
        <v>7</v>
      </c>
      <c r="AC6" s="80" t="str">
        <f>REPLACE(INDEX(GroupVertices[Group],MATCH("~"&amp;Edges[[#This Row],[Vertex 1]],GroupVertices[Vertex],0)),1,1,"")</f>
        <v>5</v>
      </c>
      <c r="AD6" s="80" t="str">
        <f>REPLACE(INDEX(GroupVertices[Group],MATCH("~"&amp;Edges[[#This Row],[Vertex 2]],GroupVertices[Vertex],0)),1,1,"")</f>
        <v>5</v>
      </c>
      <c r="AE6" s="105"/>
      <c r="AF6" s="105"/>
      <c r="AG6" s="105"/>
      <c r="AH6" s="105"/>
      <c r="AI6" s="105"/>
      <c r="AJ6" s="105"/>
      <c r="AK6" s="105"/>
      <c r="AL6" s="105"/>
      <c r="AM6" s="105"/>
    </row>
    <row r="7" spans="1:39" ht="15">
      <c r="A7" s="62" t="s">
        <v>222</v>
      </c>
      <c r="B7" s="62" t="s">
        <v>238</v>
      </c>
      <c r="C7" s="63" t="s">
        <v>3597</v>
      </c>
      <c r="D7" s="64">
        <v>6.578947368421053</v>
      </c>
      <c r="E7" s="65" t="s">
        <v>136</v>
      </c>
      <c r="F7" s="66">
        <v>29.056603773584907</v>
      </c>
      <c r="G7" s="63"/>
      <c r="H7" s="67"/>
      <c r="I7" s="68"/>
      <c r="J7" s="68"/>
      <c r="K7" s="31" t="s">
        <v>65</v>
      </c>
      <c r="L7" s="76">
        <v>7</v>
      </c>
      <c r="M7" s="76"/>
      <c r="N7" s="70"/>
      <c r="O7" s="78" t="s">
        <v>305</v>
      </c>
      <c r="P7" s="78" t="s">
        <v>307</v>
      </c>
      <c r="Q7" s="78" t="s">
        <v>645</v>
      </c>
      <c r="R7" s="78" t="s">
        <v>1241</v>
      </c>
      <c r="S7" s="78"/>
      <c r="T7" s="78"/>
      <c r="U7" s="78"/>
      <c r="V7" s="78"/>
      <c r="W7" s="81" t="s">
        <v>1674</v>
      </c>
      <c r="X7" s="81" t="s">
        <v>1674</v>
      </c>
      <c r="Y7" s="78"/>
      <c r="Z7" s="78"/>
      <c r="AA7" s="81" t="s">
        <v>1674</v>
      </c>
      <c r="AB7" s="79">
        <v>7</v>
      </c>
      <c r="AC7" s="80" t="str">
        <f>REPLACE(INDEX(GroupVertices[Group],MATCH("~"&amp;Edges[[#This Row],[Vertex 1]],GroupVertices[Vertex],0)),1,1,"")</f>
        <v>5</v>
      </c>
      <c r="AD7" s="80" t="str">
        <f>REPLACE(INDEX(GroupVertices[Group],MATCH("~"&amp;Edges[[#This Row],[Vertex 2]],GroupVertices[Vertex],0)),1,1,"")</f>
        <v>5</v>
      </c>
      <c r="AE7" s="105"/>
      <c r="AF7" s="105"/>
      <c r="AG7" s="105"/>
      <c r="AH7" s="105"/>
      <c r="AI7" s="105"/>
      <c r="AJ7" s="105"/>
      <c r="AK7" s="105"/>
      <c r="AL7" s="105"/>
      <c r="AM7" s="105"/>
    </row>
    <row r="8" spans="1:39" ht="15">
      <c r="A8" s="62" t="s">
        <v>222</v>
      </c>
      <c r="B8" s="62" t="s">
        <v>238</v>
      </c>
      <c r="C8" s="63" t="s">
        <v>3597</v>
      </c>
      <c r="D8" s="64">
        <v>6.578947368421053</v>
      </c>
      <c r="E8" s="65" t="s">
        <v>136</v>
      </c>
      <c r="F8" s="66">
        <v>29.056603773584907</v>
      </c>
      <c r="G8" s="63"/>
      <c r="H8" s="67"/>
      <c r="I8" s="68"/>
      <c r="J8" s="68"/>
      <c r="K8" s="31" t="s">
        <v>65</v>
      </c>
      <c r="L8" s="76">
        <v>8</v>
      </c>
      <c r="M8" s="76"/>
      <c r="N8" s="70"/>
      <c r="O8" s="78" t="s">
        <v>305</v>
      </c>
      <c r="P8" s="78" t="s">
        <v>307</v>
      </c>
      <c r="Q8" s="78" t="s">
        <v>645</v>
      </c>
      <c r="R8" s="78" t="s">
        <v>1242</v>
      </c>
      <c r="S8" s="78"/>
      <c r="T8" s="78"/>
      <c r="U8" s="78"/>
      <c r="V8" s="78"/>
      <c r="W8" s="81" t="s">
        <v>1674</v>
      </c>
      <c r="X8" s="81" t="s">
        <v>1674</v>
      </c>
      <c r="Y8" s="78"/>
      <c r="Z8" s="78"/>
      <c r="AA8" s="81" t="s">
        <v>1674</v>
      </c>
      <c r="AB8" s="79">
        <v>7</v>
      </c>
      <c r="AC8" s="80" t="str">
        <f>REPLACE(INDEX(GroupVertices[Group],MATCH("~"&amp;Edges[[#This Row],[Vertex 1]],GroupVertices[Vertex],0)),1,1,"")</f>
        <v>5</v>
      </c>
      <c r="AD8" s="80" t="str">
        <f>REPLACE(INDEX(GroupVertices[Group],MATCH("~"&amp;Edges[[#This Row],[Vertex 2]],GroupVertices[Vertex],0)),1,1,"")</f>
        <v>5</v>
      </c>
      <c r="AE8" s="105"/>
      <c r="AF8" s="105"/>
      <c r="AG8" s="105"/>
      <c r="AH8" s="105"/>
      <c r="AI8" s="105"/>
      <c r="AJ8" s="105"/>
      <c r="AK8" s="105"/>
      <c r="AL8" s="105"/>
      <c r="AM8" s="105"/>
    </row>
    <row r="9" spans="1:39" ht="15">
      <c r="A9" s="62" t="s">
        <v>222</v>
      </c>
      <c r="B9" s="62" t="s">
        <v>238</v>
      </c>
      <c r="C9" s="63" t="s">
        <v>3597</v>
      </c>
      <c r="D9" s="64">
        <v>6.578947368421053</v>
      </c>
      <c r="E9" s="65" t="s">
        <v>136</v>
      </c>
      <c r="F9" s="66">
        <v>29.056603773584907</v>
      </c>
      <c r="G9" s="63"/>
      <c r="H9" s="67"/>
      <c r="I9" s="68"/>
      <c r="J9" s="68"/>
      <c r="K9" s="31" t="s">
        <v>65</v>
      </c>
      <c r="L9" s="76">
        <v>9</v>
      </c>
      <c r="M9" s="76"/>
      <c r="N9" s="70"/>
      <c r="O9" s="78" t="s">
        <v>305</v>
      </c>
      <c r="P9" s="78" t="s">
        <v>307</v>
      </c>
      <c r="Q9" s="78" t="s">
        <v>645</v>
      </c>
      <c r="R9" s="78" t="s">
        <v>1243</v>
      </c>
      <c r="S9" s="78"/>
      <c r="T9" s="78"/>
      <c r="U9" s="78"/>
      <c r="V9" s="78"/>
      <c r="W9" s="81" t="s">
        <v>1674</v>
      </c>
      <c r="X9" s="81" t="s">
        <v>1674</v>
      </c>
      <c r="Y9" s="78"/>
      <c r="Z9" s="78"/>
      <c r="AA9" s="81" t="s">
        <v>1674</v>
      </c>
      <c r="AB9" s="79">
        <v>7</v>
      </c>
      <c r="AC9" s="80" t="str">
        <f>REPLACE(INDEX(GroupVertices[Group],MATCH("~"&amp;Edges[[#This Row],[Vertex 1]],GroupVertices[Vertex],0)),1,1,"")</f>
        <v>5</v>
      </c>
      <c r="AD9" s="80" t="str">
        <f>REPLACE(INDEX(GroupVertices[Group],MATCH("~"&amp;Edges[[#This Row],[Vertex 2]],GroupVertices[Vertex],0)),1,1,"")</f>
        <v>5</v>
      </c>
      <c r="AE9" s="105"/>
      <c r="AF9" s="105"/>
      <c r="AG9" s="105"/>
      <c r="AH9" s="105"/>
      <c r="AI9" s="105"/>
      <c r="AJ9" s="105"/>
      <c r="AK9" s="105"/>
      <c r="AL9" s="105"/>
      <c r="AM9" s="105"/>
    </row>
    <row r="10" spans="1:39" ht="15">
      <c r="A10" s="62" t="s">
        <v>222</v>
      </c>
      <c r="B10" s="62" t="s">
        <v>268</v>
      </c>
      <c r="C10" s="63" t="s">
        <v>3598</v>
      </c>
      <c r="D10" s="64">
        <v>5</v>
      </c>
      <c r="E10" s="65" t="s">
        <v>132</v>
      </c>
      <c r="F10" s="66">
        <v>32</v>
      </c>
      <c r="G10" s="63"/>
      <c r="H10" s="67"/>
      <c r="I10" s="68"/>
      <c r="J10" s="68"/>
      <c r="K10" s="31" t="s">
        <v>65</v>
      </c>
      <c r="L10" s="76">
        <v>10</v>
      </c>
      <c r="M10" s="76"/>
      <c r="N10" s="70"/>
      <c r="O10" s="78" t="s">
        <v>305</v>
      </c>
      <c r="P10" s="78" t="s">
        <v>308</v>
      </c>
      <c r="Q10" s="78" t="s">
        <v>646</v>
      </c>
      <c r="R10" s="78" t="s">
        <v>1244</v>
      </c>
      <c r="S10" s="78"/>
      <c r="T10" s="78"/>
      <c r="U10" s="78"/>
      <c r="V10" s="78"/>
      <c r="W10" s="81" t="s">
        <v>1674</v>
      </c>
      <c r="X10" s="81" t="s">
        <v>1674</v>
      </c>
      <c r="Y10" s="78"/>
      <c r="Z10" s="78"/>
      <c r="AA10" s="81" t="s">
        <v>1674</v>
      </c>
      <c r="AB10" s="79">
        <v>1</v>
      </c>
      <c r="AC10" s="80" t="str">
        <f>REPLACE(INDEX(GroupVertices[Group],MATCH("~"&amp;Edges[[#This Row],[Vertex 1]],GroupVertices[Vertex],0)),1,1,"")</f>
        <v>5</v>
      </c>
      <c r="AD10" s="80" t="str">
        <f>REPLACE(INDEX(GroupVertices[Group],MATCH("~"&amp;Edges[[#This Row],[Vertex 2]],GroupVertices[Vertex],0)),1,1,"")</f>
        <v>6</v>
      </c>
      <c r="AE10" s="105"/>
      <c r="AF10" s="105"/>
      <c r="AG10" s="105"/>
      <c r="AH10" s="105"/>
      <c r="AI10" s="105"/>
      <c r="AJ10" s="105"/>
      <c r="AK10" s="105"/>
      <c r="AL10" s="105"/>
      <c r="AM10" s="105"/>
    </row>
    <row r="11" spans="1:39" ht="15">
      <c r="A11" s="62" t="s">
        <v>223</v>
      </c>
      <c r="B11" s="62" t="s">
        <v>291</v>
      </c>
      <c r="C11" s="63" t="s">
        <v>3598</v>
      </c>
      <c r="D11" s="64">
        <v>5</v>
      </c>
      <c r="E11" s="65" t="s">
        <v>132</v>
      </c>
      <c r="F11" s="66">
        <v>32</v>
      </c>
      <c r="G11" s="63"/>
      <c r="H11" s="67"/>
      <c r="I11" s="68"/>
      <c r="J11" s="68"/>
      <c r="K11" s="31" t="s">
        <v>65</v>
      </c>
      <c r="L11" s="76">
        <v>11</v>
      </c>
      <c r="M11" s="76"/>
      <c r="N11" s="70"/>
      <c r="O11" s="78" t="s">
        <v>305</v>
      </c>
      <c r="P11" s="78" t="s">
        <v>309</v>
      </c>
      <c r="Q11" s="78" t="s">
        <v>647</v>
      </c>
      <c r="R11" s="78" t="s">
        <v>1245</v>
      </c>
      <c r="S11" s="78"/>
      <c r="T11" s="78"/>
      <c r="U11" s="78"/>
      <c r="V11" s="78"/>
      <c r="W11" s="81" t="s">
        <v>1674</v>
      </c>
      <c r="X11" s="81" t="s">
        <v>1674</v>
      </c>
      <c r="Y11" s="78"/>
      <c r="Z11" s="78"/>
      <c r="AA11" s="81" t="s">
        <v>1674</v>
      </c>
      <c r="AB11" s="79">
        <v>1</v>
      </c>
      <c r="AC11" s="80" t="str">
        <f>REPLACE(INDEX(GroupVertices[Group],MATCH("~"&amp;Edges[[#This Row],[Vertex 1]],GroupVertices[Vertex],0)),1,1,"")</f>
        <v>5</v>
      </c>
      <c r="AD11" s="80" t="str">
        <f>REPLACE(INDEX(GroupVertices[Group],MATCH("~"&amp;Edges[[#This Row],[Vertex 2]],GroupVertices[Vertex],0)),1,1,"")</f>
        <v>5</v>
      </c>
      <c r="AE11" s="105"/>
      <c r="AF11" s="105"/>
      <c r="AG11" s="105"/>
      <c r="AH11" s="105"/>
      <c r="AI11" s="105"/>
      <c r="AJ11" s="105"/>
      <c r="AK11" s="105"/>
      <c r="AL11" s="105"/>
      <c r="AM11" s="105"/>
    </row>
    <row r="12" spans="1:39" ht="15">
      <c r="A12" s="62" t="s">
        <v>224</v>
      </c>
      <c r="B12" s="62" t="s">
        <v>291</v>
      </c>
      <c r="C12" s="63" t="s">
        <v>3598</v>
      </c>
      <c r="D12" s="64">
        <v>5</v>
      </c>
      <c r="E12" s="65" t="s">
        <v>132</v>
      </c>
      <c r="F12" s="66">
        <v>32</v>
      </c>
      <c r="G12" s="63"/>
      <c r="H12" s="67"/>
      <c r="I12" s="68"/>
      <c r="J12" s="68"/>
      <c r="K12" s="31" t="s">
        <v>65</v>
      </c>
      <c r="L12" s="76">
        <v>12</v>
      </c>
      <c r="M12" s="76"/>
      <c r="N12" s="70"/>
      <c r="O12" s="78" t="s">
        <v>305</v>
      </c>
      <c r="P12" s="78" t="s">
        <v>310</v>
      </c>
      <c r="Q12" s="78" t="s">
        <v>648</v>
      </c>
      <c r="R12" s="78" t="s">
        <v>1246</v>
      </c>
      <c r="S12" s="78"/>
      <c r="T12" s="78"/>
      <c r="U12" s="78"/>
      <c r="V12" s="78"/>
      <c r="W12" s="81" t="s">
        <v>1674</v>
      </c>
      <c r="X12" s="81" t="s">
        <v>1674</v>
      </c>
      <c r="Y12" s="78"/>
      <c r="Z12" s="78"/>
      <c r="AA12" s="81" t="s">
        <v>1674</v>
      </c>
      <c r="AB12" s="79">
        <v>1</v>
      </c>
      <c r="AC12" s="80" t="str">
        <f>REPLACE(INDEX(GroupVertices[Group],MATCH("~"&amp;Edges[[#This Row],[Vertex 1]],GroupVertices[Vertex],0)),1,1,"")</f>
        <v>5</v>
      </c>
      <c r="AD12" s="80" t="str">
        <f>REPLACE(INDEX(GroupVertices[Group],MATCH("~"&amp;Edges[[#This Row],[Vertex 2]],GroupVertices[Vertex],0)),1,1,"")</f>
        <v>5</v>
      </c>
      <c r="AE12" s="105"/>
      <c r="AF12" s="105"/>
      <c r="AG12" s="105"/>
      <c r="AH12" s="105"/>
      <c r="AI12" s="105"/>
      <c r="AJ12" s="105"/>
      <c r="AK12" s="105"/>
      <c r="AL12" s="105"/>
      <c r="AM12" s="105"/>
    </row>
    <row r="13" spans="1:39" ht="15">
      <c r="A13" s="62" t="s">
        <v>224</v>
      </c>
      <c r="B13" s="62" t="s">
        <v>292</v>
      </c>
      <c r="C13" s="63" t="s">
        <v>3598</v>
      </c>
      <c r="D13" s="64">
        <v>5.2631578947368425</v>
      </c>
      <c r="E13" s="65" t="s">
        <v>136</v>
      </c>
      <c r="F13" s="66">
        <v>31.50943396226415</v>
      </c>
      <c r="G13" s="63"/>
      <c r="H13" s="67"/>
      <c r="I13" s="68"/>
      <c r="J13" s="68"/>
      <c r="K13" s="31" t="s">
        <v>65</v>
      </c>
      <c r="L13" s="76">
        <v>13</v>
      </c>
      <c r="M13" s="76"/>
      <c r="N13" s="70"/>
      <c r="O13" s="78" t="s">
        <v>305</v>
      </c>
      <c r="P13" s="78" t="s">
        <v>311</v>
      </c>
      <c r="Q13" s="78" t="s">
        <v>649</v>
      </c>
      <c r="R13" s="78" t="s">
        <v>1247</v>
      </c>
      <c r="S13" s="78"/>
      <c r="T13" s="78"/>
      <c r="U13" s="78"/>
      <c r="V13" s="78"/>
      <c r="W13" s="81" t="s">
        <v>1674</v>
      </c>
      <c r="X13" s="81" t="s">
        <v>1674</v>
      </c>
      <c r="Y13" s="78"/>
      <c r="Z13" s="78"/>
      <c r="AA13" s="81" t="s">
        <v>1674</v>
      </c>
      <c r="AB13" s="79">
        <v>2</v>
      </c>
      <c r="AC13" s="80" t="str">
        <f>REPLACE(INDEX(GroupVertices[Group],MATCH("~"&amp;Edges[[#This Row],[Vertex 1]],GroupVertices[Vertex],0)),1,1,"")</f>
        <v>5</v>
      </c>
      <c r="AD13" s="80" t="str">
        <f>REPLACE(INDEX(GroupVertices[Group],MATCH("~"&amp;Edges[[#This Row],[Vertex 2]],GroupVertices[Vertex],0)),1,1,"")</f>
        <v>5</v>
      </c>
      <c r="AE13" s="105"/>
      <c r="AF13" s="105"/>
      <c r="AG13" s="105"/>
      <c r="AH13" s="105"/>
      <c r="AI13" s="105"/>
      <c r="AJ13" s="105"/>
      <c r="AK13" s="105"/>
      <c r="AL13" s="105"/>
      <c r="AM13" s="105"/>
    </row>
    <row r="14" spans="1:39" ht="15">
      <c r="A14" s="62" t="s">
        <v>224</v>
      </c>
      <c r="B14" s="62" t="s">
        <v>292</v>
      </c>
      <c r="C14" s="63" t="s">
        <v>3598</v>
      </c>
      <c r="D14" s="64">
        <v>5.2631578947368425</v>
      </c>
      <c r="E14" s="65" t="s">
        <v>136</v>
      </c>
      <c r="F14" s="66">
        <v>31.50943396226415</v>
      </c>
      <c r="G14" s="63"/>
      <c r="H14" s="67"/>
      <c r="I14" s="68"/>
      <c r="J14" s="68"/>
      <c r="K14" s="31" t="s">
        <v>65</v>
      </c>
      <c r="L14" s="76">
        <v>14</v>
      </c>
      <c r="M14" s="76"/>
      <c r="N14" s="70"/>
      <c r="O14" s="78" t="s">
        <v>305</v>
      </c>
      <c r="P14" s="78" t="s">
        <v>312</v>
      </c>
      <c r="Q14" s="78" t="s">
        <v>650</v>
      </c>
      <c r="R14" s="78" t="s">
        <v>1248</v>
      </c>
      <c r="S14" s="78"/>
      <c r="T14" s="78"/>
      <c r="U14" s="78"/>
      <c r="V14" s="78"/>
      <c r="W14" s="81" t="s">
        <v>1674</v>
      </c>
      <c r="X14" s="81" t="s">
        <v>1674</v>
      </c>
      <c r="Y14" s="78"/>
      <c r="Z14" s="78"/>
      <c r="AA14" s="81" t="s">
        <v>1674</v>
      </c>
      <c r="AB14" s="79">
        <v>2</v>
      </c>
      <c r="AC14" s="80" t="str">
        <f>REPLACE(INDEX(GroupVertices[Group],MATCH("~"&amp;Edges[[#This Row],[Vertex 1]],GroupVertices[Vertex],0)),1,1,"")</f>
        <v>5</v>
      </c>
      <c r="AD14" s="80" t="str">
        <f>REPLACE(INDEX(GroupVertices[Group],MATCH("~"&amp;Edges[[#This Row],[Vertex 2]],GroupVertices[Vertex],0)),1,1,"")</f>
        <v>5</v>
      </c>
      <c r="AE14" s="105"/>
      <c r="AF14" s="105"/>
      <c r="AG14" s="105"/>
      <c r="AH14" s="105"/>
      <c r="AI14" s="105"/>
      <c r="AJ14" s="105"/>
      <c r="AK14" s="105"/>
      <c r="AL14" s="105"/>
      <c r="AM14" s="105"/>
    </row>
    <row r="15" spans="1:39" ht="15">
      <c r="A15" s="62" t="s">
        <v>225</v>
      </c>
      <c r="B15" s="62" t="s">
        <v>293</v>
      </c>
      <c r="C15" s="63" t="s">
        <v>3598</v>
      </c>
      <c r="D15" s="64">
        <v>5</v>
      </c>
      <c r="E15" s="65" t="s">
        <v>132</v>
      </c>
      <c r="F15" s="66">
        <v>32</v>
      </c>
      <c r="G15" s="63"/>
      <c r="H15" s="67"/>
      <c r="I15" s="68"/>
      <c r="J15" s="68"/>
      <c r="K15" s="31" t="s">
        <v>65</v>
      </c>
      <c r="L15" s="76">
        <v>15</v>
      </c>
      <c r="M15" s="76"/>
      <c r="N15" s="70"/>
      <c r="O15" s="78" t="s">
        <v>305</v>
      </c>
      <c r="P15" s="78" t="s">
        <v>313</v>
      </c>
      <c r="Q15" s="78" t="s">
        <v>651</v>
      </c>
      <c r="R15" s="78" t="s">
        <v>1249</v>
      </c>
      <c r="S15" s="78" t="s">
        <v>1643</v>
      </c>
      <c r="T15" s="78"/>
      <c r="U15" s="78" t="s">
        <v>1669</v>
      </c>
      <c r="V15" s="78"/>
      <c r="W15" s="81" t="s">
        <v>1674</v>
      </c>
      <c r="X15" s="81" t="s">
        <v>1674</v>
      </c>
      <c r="Y15" s="78" t="s">
        <v>1675</v>
      </c>
      <c r="Z15" s="78" t="s">
        <v>1707</v>
      </c>
      <c r="AA15" s="81" t="s">
        <v>1674</v>
      </c>
      <c r="AB15" s="79">
        <v>1</v>
      </c>
      <c r="AC15" s="80" t="str">
        <f>REPLACE(INDEX(GroupVertices[Group],MATCH("~"&amp;Edges[[#This Row],[Vertex 1]],GroupVertices[Vertex],0)),1,1,"")</f>
        <v>2</v>
      </c>
      <c r="AD15" s="80" t="str">
        <f>REPLACE(INDEX(GroupVertices[Group],MATCH("~"&amp;Edges[[#This Row],[Vertex 2]],GroupVertices[Vertex],0)),1,1,"")</f>
        <v>2</v>
      </c>
      <c r="AE15" s="105"/>
      <c r="AF15" s="105"/>
      <c r="AG15" s="105"/>
      <c r="AH15" s="105"/>
      <c r="AI15" s="105"/>
      <c r="AJ15" s="105"/>
      <c r="AK15" s="105"/>
      <c r="AL15" s="105"/>
      <c r="AM15" s="105"/>
    </row>
    <row r="16" spans="1:39" ht="15">
      <c r="A16" s="62" t="s">
        <v>226</v>
      </c>
      <c r="B16" s="62" t="s">
        <v>293</v>
      </c>
      <c r="C16" s="63" t="s">
        <v>3598</v>
      </c>
      <c r="D16" s="64">
        <v>5</v>
      </c>
      <c r="E16" s="65" t="s">
        <v>132</v>
      </c>
      <c r="F16" s="66">
        <v>32</v>
      </c>
      <c r="G16" s="63"/>
      <c r="H16" s="67"/>
      <c r="I16" s="68"/>
      <c r="J16" s="68"/>
      <c r="K16" s="31" t="s">
        <v>65</v>
      </c>
      <c r="L16" s="76">
        <v>16</v>
      </c>
      <c r="M16" s="76"/>
      <c r="N16" s="70"/>
      <c r="O16" s="78" t="s">
        <v>305</v>
      </c>
      <c r="P16" s="78" t="s">
        <v>313</v>
      </c>
      <c r="Q16" s="78" t="s">
        <v>652</v>
      </c>
      <c r="R16" s="78" t="s">
        <v>1249</v>
      </c>
      <c r="S16" s="78"/>
      <c r="T16" s="78"/>
      <c r="U16" s="78"/>
      <c r="V16" s="78"/>
      <c r="W16" s="81" t="s">
        <v>1674</v>
      </c>
      <c r="X16" s="81" t="s">
        <v>1674</v>
      </c>
      <c r="Y16" s="78"/>
      <c r="Z16" s="78"/>
      <c r="AA16" s="81" t="s">
        <v>1674</v>
      </c>
      <c r="AB16" s="79">
        <v>1</v>
      </c>
      <c r="AC16" s="80" t="str">
        <f>REPLACE(INDEX(GroupVertices[Group],MATCH("~"&amp;Edges[[#This Row],[Vertex 1]],GroupVertices[Vertex],0)),1,1,"")</f>
        <v>2</v>
      </c>
      <c r="AD16" s="80" t="str">
        <f>REPLACE(INDEX(GroupVertices[Group],MATCH("~"&amp;Edges[[#This Row],[Vertex 2]],GroupVertices[Vertex],0)),1,1,"")</f>
        <v>2</v>
      </c>
      <c r="AE16" s="105"/>
      <c r="AF16" s="105"/>
      <c r="AG16" s="105"/>
      <c r="AH16" s="105"/>
      <c r="AI16" s="105"/>
      <c r="AJ16" s="105"/>
      <c r="AK16" s="105"/>
      <c r="AL16" s="105"/>
      <c r="AM16" s="105"/>
    </row>
    <row r="17" spans="1:39" ht="15">
      <c r="A17" s="62" t="s">
        <v>227</v>
      </c>
      <c r="B17" s="62" t="s">
        <v>294</v>
      </c>
      <c r="C17" s="63" t="s">
        <v>3598</v>
      </c>
      <c r="D17" s="64">
        <v>5</v>
      </c>
      <c r="E17" s="65" t="s">
        <v>132</v>
      </c>
      <c r="F17" s="66">
        <v>32</v>
      </c>
      <c r="G17" s="63"/>
      <c r="H17" s="67"/>
      <c r="I17" s="68"/>
      <c r="J17" s="68"/>
      <c r="K17" s="31" t="s">
        <v>65</v>
      </c>
      <c r="L17" s="76">
        <v>17</v>
      </c>
      <c r="M17" s="76"/>
      <c r="N17" s="70"/>
      <c r="O17" s="78" t="s">
        <v>305</v>
      </c>
      <c r="P17" s="78" t="s">
        <v>314</v>
      </c>
      <c r="Q17" s="78" t="s">
        <v>653</v>
      </c>
      <c r="R17" s="78" t="s">
        <v>1250</v>
      </c>
      <c r="S17" s="78"/>
      <c r="T17" s="78"/>
      <c r="U17" s="78"/>
      <c r="V17" s="78"/>
      <c r="W17" s="81" t="s">
        <v>1674</v>
      </c>
      <c r="X17" s="81" t="s">
        <v>1674</v>
      </c>
      <c r="Y17" s="78"/>
      <c r="Z17" s="78"/>
      <c r="AA17" s="81" t="s">
        <v>1674</v>
      </c>
      <c r="AB17" s="79">
        <v>1</v>
      </c>
      <c r="AC17" s="80" t="str">
        <f>REPLACE(INDEX(GroupVertices[Group],MATCH("~"&amp;Edges[[#This Row],[Vertex 1]],GroupVertices[Vertex],0)),1,1,"")</f>
        <v>2</v>
      </c>
      <c r="AD17" s="80" t="str">
        <f>REPLACE(INDEX(GroupVertices[Group],MATCH("~"&amp;Edges[[#This Row],[Vertex 2]],GroupVertices[Vertex],0)),1,1,"")</f>
        <v>2</v>
      </c>
      <c r="AE17" s="105"/>
      <c r="AF17" s="105"/>
      <c r="AG17" s="105"/>
      <c r="AH17" s="105"/>
      <c r="AI17" s="105"/>
      <c r="AJ17" s="105"/>
      <c r="AK17" s="105"/>
      <c r="AL17" s="105"/>
      <c r="AM17" s="105"/>
    </row>
    <row r="18" spans="1:39" ht="15">
      <c r="A18" s="62" t="s">
        <v>227</v>
      </c>
      <c r="B18" s="62" t="s">
        <v>249</v>
      </c>
      <c r="C18" s="63" t="s">
        <v>3599</v>
      </c>
      <c r="D18" s="64">
        <v>6.315789473684211</v>
      </c>
      <c r="E18" s="65" t="s">
        <v>136</v>
      </c>
      <c r="F18" s="66">
        <v>29.547169811320757</v>
      </c>
      <c r="G18" s="63"/>
      <c r="H18" s="67"/>
      <c r="I18" s="68"/>
      <c r="J18" s="68"/>
      <c r="K18" s="31" t="s">
        <v>65</v>
      </c>
      <c r="L18" s="76">
        <v>18</v>
      </c>
      <c r="M18" s="76"/>
      <c r="N18" s="70"/>
      <c r="O18" s="78" t="s">
        <v>305</v>
      </c>
      <c r="P18" s="78" t="s">
        <v>315</v>
      </c>
      <c r="Q18" s="78" t="s">
        <v>654</v>
      </c>
      <c r="R18" s="78" t="s">
        <v>1251</v>
      </c>
      <c r="S18" s="78"/>
      <c r="T18" s="78"/>
      <c r="U18" s="78"/>
      <c r="V18" s="78"/>
      <c r="W18" s="81" t="s">
        <v>1674</v>
      </c>
      <c r="X18" s="81" t="s">
        <v>1674</v>
      </c>
      <c r="Y18" s="78"/>
      <c r="Z18" s="78"/>
      <c r="AA18" s="81" t="s">
        <v>1674</v>
      </c>
      <c r="AB18" s="79">
        <v>6</v>
      </c>
      <c r="AC18" s="80" t="str">
        <f>REPLACE(INDEX(GroupVertices[Group],MATCH("~"&amp;Edges[[#This Row],[Vertex 1]],GroupVertices[Vertex],0)),1,1,"")</f>
        <v>2</v>
      </c>
      <c r="AD18" s="80" t="str">
        <f>REPLACE(INDEX(GroupVertices[Group],MATCH("~"&amp;Edges[[#This Row],[Vertex 2]],GroupVertices[Vertex],0)),1,1,"")</f>
        <v>2</v>
      </c>
      <c r="AE18" s="105"/>
      <c r="AF18" s="105"/>
      <c r="AG18" s="105"/>
      <c r="AH18" s="105"/>
      <c r="AI18" s="105"/>
      <c r="AJ18" s="105"/>
      <c r="AK18" s="105"/>
      <c r="AL18" s="105"/>
      <c r="AM18" s="105"/>
    </row>
    <row r="19" spans="1:39" ht="15">
      <c r="A19" s="62" t="s">
        <v>227</v>
      </c>
      <c r="B19" s="62" t="s">
        <v>249</v>
      </c>
      <c r="C19" s="63" t="s">
        <v>3599</v>
      </c>
      <c r="D19" s="64">
        <v>6.315789473684211</v>
      </c>
      <c r="E19" s="65" t="s">
        <v>136</v>
      </c>
      <c r="F19" s="66">
        <v>29.547169811320757</v>
      </c>
      <c r="G19" s="63"/>
      <c r="H19" s="67"/>
      <c r="I19" s="68"/>
      <c r="J19" s="68"/>
      <c r="K19" s="31" t="s">
        <v>65</v>
      </c>
      <c r="L19" s="76">
        <v>19</v>
      </c>
      <c r="M19" s="76"/>
      <c r="N19" s="70"/>
      <c r="O19" s="78" t="s">
        <v>305</v>
      </c>
      <c r="P19" s="78" t="s">
        <v>315</v>
      </c>
      <c r="Q19" s="78" t="s">
        <v>654</v>
      </c>
      <c r="R19" s="78" t="s">
        <v>1252</v>
      </c>
      <c r="S19" s="78"/>
      <c r="T19" s="78"/>
      <c r="U19" s="78"/>
      <c r="V19" s="78"/>
      <c r="W19" s="81" t="s">
        <v>1674</v>
      </c>
      <c r="X19" s="81" t="s">
        <v>1674</v>
      </c>
      <c r="Y19" s="78"/>
      <c r="Z19" s="78"/>
      <c r="AA19" s="81" t="s">
        <v>1674</v>
      </c>
      <c r="AB19" s="79">
        <v>6</v>
      </c>
      <c r="AC19" s="80" t="str">
        <f>REPLACE(INDEX(GroupVertices[Group],MATCH("~"&amp;Edges[[#This Row],[Vertex 1]],GroupVertices[Vertex],0)),1,1,"")</f>
        <v>2</v>
      </c>
      <c r="AD19" s="80" t="str">
        <f>REPLACE(INDEX(GroupVertices[Group],MATCH("~"&amp;Edges[[#This Row],[Vertex 2]],GroupVertices[Vertex],0)),1,1,"")</f>
        <v>2</v>
      </c>
      <c r="AE19" s="105"/>
      <c r="AF19" s="105"/>
      <c r="AG19" s="105"/>
      <c r="AH19" s="105"/>
      <c r="AI19" s="105"/>
      <c r="AJ19" s="105"/>
      <c r="AK19" s="105"/>
      <c r="AL19" s="105"/>
      <c r="AM19" s="105"/>
    </row>
    <row r="20" spans="1:39" ht="15">
      <c r="A20" s="62" t="s">
        <v>227</v>
      </c>
      <c r="B20" s="62" t="s">
        <v>249</v>
      </c>
      <c r="C20" s="63" t="s">
        <v>3599</v>
      </c>
      <c r="D20" s="64">
        <v>6.315789473684211</v>
      </c>
      <c r="E20" s="65" t="s">
        <v>136</v>
      </c>
      <c r="F20" s="66">
        <v>29.547169811320757</v>
      </c>
      <c r="G20" s="63"/>
      <c r="H20" s="67"/>
      <c r="I20" s="68"/>
      <c r="J20" s="68"/>
      <c r="K20" s="31" t="s">
        <v>65</v>
      </c>
      <c r="L20" s="76">
        <v>20</v>
      </c>
      <c r="M20" s="76"/>
      <c r="N20" s="70"/>
      <c r="O20" s="78" t="s">
        <v>305</v>
      </c>
      <c r="P20" s="78" t="s">
        <v>315</v>
      </c>
      <c r="Q20" s="78" t="s">
        <v>654</v>
      </c>
      <c r="R20" s="78" t="s">
        <v>1253</v>
      </c>
      <c r="S20" s="78"/>
      <c r="T20" s="78"/>
      <c r="U20" s="78"/>
      <c r="V20" s="78"/>
      <c r="W20" s="81" t="s">
        <v>1674</v>
      </c>
      <c r="X20" s="81" t="s">
        <v>1674</v>
      </c>
      <c r="Y20" s="78"/>
      <c r="Z20" s="78"/>
      <c r="AA20" s="81" t="s">
        <v>1674</v>
      </c>
      <c r="AB20" s="79">
        <v>6</v>
      </c>
      <c r="AC20" s="80" t="str">
        <f>REPLACE(INDEX(GroupVertices[Group],MATCH("~"&amp;Edges[[#This Row],[Vertex 1]],GroupVertices[Vertex],0)),1,1,"")</f>
        <v>2</v>
      </c>
      <c r="AD20" s="80" t="str">
        <f>REPLACE(INDEX(GroupVertices[Group],MATCH("~"&amp;Edges[[#This Row],[Vertex 2]],GroupVertices[Vertex],0)),1,1,"")</f>
        <v>2</v>
      </c>
      <c r="AE20" s="105"/>
      <c r="AF20" s="105"/>
      <c r="AG20" s="105"/>
      <c r="AH20" s="105"/>
      <c r="AI20" s="105"/>
      <c r="AJ20" s="105"/>
      <c r="AK20" s="105"/>
      <c r="AL20" s="105"/>
      <c r="AM20" s="105"/>
    </row>
    <row r="21" spans="1:39" ht="15">
      <c r="A21" s="62" t="s">
        <v>227</v>
      </c>
      <c r="B21" s="62" t="s">
        <v>249</v>
      </c>
      <c r="C21" s="63" t="s">
        <v>3599</v>
      </c>
      <c r="D21" s="64">
        <v>6.315789473684211</v>
      </c>
      <c r="E21" s="65" t="s">
        <v>136</v>
      </c>
      <c r="F21" s="66">
        <v>29.547169811320757</v>
      </c>
      <c r="G21" s="63"/>
      <c r="H21" s="67"/>
      <c r="I21" s="68"/>
      <c r="J21" s="68"/>
      <c r="K21" s="31" t="s">
        <v>65</v>
      </c>
      <c r="L21" s="76">
        <v>21</v>
      </c>
      <c r="M21" s="76"/>
      <c r="N21" s="70"/>
      <c r="O21" s="78" t="s">
        <v>305</v>
      </c>
      <c r="P21" s="78" t="s">
        <v>315</v>
      </c>
      <c r="Q21" s="78" t="s">
        <v>654</v>
      </c>
      <c r="R21" s="78" t="s">
        <v>1254</v>
      </c>
      <c r="S21" s="78"/>
      <c r="T21" s="78"/>
      <c r="U21" s="78"/>
      <c r="V21" s="78"/>
      <c r="W21" s="81" t="s">
        <v>1674</v>
      </c>
      <c r="X21" s="81" t="s">
        <v>1674</v>
      </c>
      <c r="Y21" s="78"/>
      <c r="Z21" s="78"/>
      <c r="AA21" s="81" t="s">
        <v>1674</v>
      </c>
      <c r="AB21" s="79">
        <v>6</v>
      </c>
      <c r="AC21" s="80" t="str">
        <f>REPLACE(INDEX(GroupVertices[Group],MATCH("~"&amp;Edges[[#This Row],[Vertex 1]],GroupVertices[Vertex],0)),1,1,"")</f>
        <v>2</v>
      </c>
      <c r="AD21" s="80" t="str">
        <f>REPLACE(INDEX(GroupVertices[Group],MATCH("~"&amp;Edges[[#This Row],[Vertex 2]],GroupVertices[Vertex],0)),1,1,"")</f>
        <v>2</v>
      </c>
      <c r="AE21" s="105"/>
      <c r="AF21" s="105"/>
      <c r="AG21" s="105"/>
      <c r="AH21" s="105"/>
      <c r="AI21" s="105"/>
      <c r="AJ21" s="105"/>
      <c r="AK21" s="105"/>
      <c r="AL21" s="105"/>
      <c r="AM21" s="105"/>
    </row>
    <row r="22" spans="1:39" ht="15">
      <c r="A22" s="62" t="s">
        <v>227</v>
      </c>
      <c r="B22" s="62" t="s">
        <v>249</v>
      </c>
      <c r="C22" s="63" t="s">
        <v>3599</v>
      </c>
      <c r="D22" s="64">
        <v>6.315789473684211</v>
      </c>
      <c r="E22" s="65" t="s">
        <v>136</v>
      </c>
      <c r="F22" s="66">
        <v>29.547169811320757</v>
      </c>
      <c r="G22" s="63"/>
      <c r="H22" s="67"/>
      <c r="I22" s="68"/>
      <c r="J22" s="68"/>
      <c r="K22" s="31" t="s">
        <v>65</v>
      </c>
      <c r="L22" s="76">
        <v>22</v>
      </c>
      <c r="M22" s="76"/>
      <c r="N22" s="70"/>
      <c r="O22" s="78" t="s">
        <v>305</v>
      </c>
      <c r="P22" s="78" t="s">
        <v>315</v>
      </c>
      <c r="Q22" s="78" t="s">
        <v>654</v>
      </c>
      <c r="R22" s="78" t="s">
        <v>1255</v>
      </c>
      <c r="S22" s="78"/>
      <c r="T22" s="78"/>
      <c r="U22" s="78"/>
      <c r="V22" s="78"/>
      <c r="W22" s="81" t="s">
        <v>1674</v>
      </c>
      <c r="X22" s="81" t="s">
        <v>1674</v>
      </c>
      <c r="Y22" s="78"/>
      <c r="Z22" s="78"/>
      <c r="AA22" s="81" t="s">
        <v>1674</v>
      </c>
      <c r="AB22" s="79">
        <v>6</v>
      </c>
      <c r="AC22" s="80" t="str">
        <f>REPLACE(INDEX(GroupVertices[Group],MATCH("~"&amp;Edges[[#This Row],[Vertex 1]],GroupVertices[Vertex],0)),1,1,"")</f>
        <v>2</v>
      </c>
      <c r="AD22" s="80" t="str">
        <f>REPLACE(INDEX(GroupVertices[Group],MATCH("~"&amp;Edges[[#This Row],[Vertex 2]],GroupVertices[Vertex],0)),1,1,"")</f>
        <v>2</v>
      </c>
      <c r="AE22" s="105"/>
      <c r="AF22" s="105"/>
      <c r="AG22" s="105"/>
      <c r="AH22" s="105"/>
      <c r="AI22" s="105"/>
      <c r="AJ22" s="105"/>
      <c r="AK22" s="105"/>
      <c r="AL22" s="105"/>
      <c r="AM22" s="105"/>
    </row>
    <row r="23" spans="1:39" ht="15">
      <c r="A23" s="62" t="s">
        <v>227</v>
      </c>
      <c r="B23" s="62" t="s">
        <v>249</v>
      </c>
      <c r="C23" s="63" t="s">
        <v>3599</v>
      </c>
      <c r="D23" s="64">
        <v>6.315789473684211</v>
      </c>
      <c r="E23" s="65" t="s">
        <v>136</v>
      </c>
      <c r="F23" s="66">
        <v>29.547169811320757</v>
      </c>
      <c r="G23" s="63"/>
      <c r="H23" s="67"/>
      <c r="I23" s="68"/>
      <c r="J23" s="68"/>
      <c r="K23" s="31" t="s">
        <v>65</v>
      </c>
      <c r="L23" s="76">
        <v>23</v>
      </c>
      <c r="M23" s="76"/>
      <c r="N23" s="70"/>
      <c r="O23" s="78" t="s">
        <v>305</v>
      </c>
      <c r="P23" s="78" t="s">
        <v>315</v>
      </c>
      <c r="Q23" s="78" t="s">
        <v>654</v>
      </c>
      <c r="R23" s="78" t="s">
        <v>1256</v>
      </c>
      <c r="S23" s="78"/>
      <c r="T23" s="78"/>
      <c r="U23" s="78"/>
      <c r="V23" s="78"/>
      <c r="W23" s="81" t="s">
        <v>1674</v>
      </c>
      <c r="X23" s="81" t="s">
        <v>1674</v>
      </c>
      <c r="Y23" s="78"/>
      <c r="Z23" s="78"/>
      <c r="AA23" s="81" t="s">
        <v>1674</v>
      </c>
      <c r="AB23" s="79">
        <v>6</v>
      </c>
      <c r="AC23" s="80" t="str">
        <f>REPLACE(INDEX(GroupVertices[Group],MATCH("~"&amp;Edges[[#This Row],[Vertex 1]],GroupVertices[Vertex],0)),1,1,"")</f>
        <v>2</v>
      </c>
      <c r="AD23" s="80" t="str">
        <f>REPLACE(INDEX(GroupVertices[Group],MATCH("~"&amp;Edges[[#This Row],[Vertex 2]],GroupVertices[Vertex],0)),1,1,"")</f>
        <v>2</v>
      </c>
      <c r="AE23" s="105"/>
      <c r="AF23" s="105"/>
      <c r="AG23" s="105"/>
      <c r="AH23" s="105"/>
      <c r="AI23" s="105"/>
      <c r="AJ23" s="105"/>
      <c r="AK23" s="105"/>
      <c r="AL23" s="105"/>
      <c r="AM23" s="105"/>
    </row>
    <row r="24" spans="1:39" ht="15">
      <c r="A24" s="62" t="s">
        <v>227</v>
      </c>
      <c r="B24" s="62" t="s">
        <v>241</v>
      </c>
      <c r="C24" s="63" t="s">
        <v>3598</v>
      </c>
      <c r="D24" s="64">
        <v>5</v>
      </c>
      <c r="E24" s="65" t="s">
        <v>132</v>
      </c>
      <c r="F24" s="66">
        <v>32</v>
      </c>
      <c r="G24" s="63"/>
      <c r="H24" s="67"/>
      <c r="I24" s="68"/>
      <c r="J24" s="68"/>
      <c r="K24" s="31" t="s">
        <v>65</v>
      </c>
      <c r="L24" s="76">
        <v>24</v>
      </c>
      <c r="M24" s="76"/>
      <c r="N24" s="70"/>
      <c r="O24" s="78" t="s">
        <v>305</v>
      </c>
      <c r="P24" s="78" t="s">
        <v>316</v>
      </c>
      <c r="Q24" s="78" t="s">
        <v>655</v>
      </c>
      <c r="R24" s="78" t="s">
        <v>1257</v>
      </c>
      <c r="S24" s="78"/>
      <c r="T24" s="78"/>
      <c r="U24" s="78"/>
      <c r="V24" s="78"/>
      <c r="W24" s="81" t="s">
        <v>1674</v>
      </c>
      <c r="X24" s="81" t="s">
        <v>1674</v>
      </c>
      <c r="Y24" s="78"/>
      <c r="Z24" s="78"/>
      <c r="AA24" s="81" t="s">
        <v>1674</v>
      </c>
      <c r="AB24" s="79">
        <v>1</v>
      </c>
      <c r="AC24" s="80" t="str">
        <f>REPLACE(INDEX(GroupVertices[Group],MATCH("~"&amp;Edges[[#This Row],[Vertex 1]],GroupVertices[Vertex],0)),1,1,"")</f>
        <v>2</v>
      </c>
      <c r="AD24" s="80" t="str">
        <f>REPLACE(INDEX(GroupVertices[Group],MATCH("~"&amp;Edges[[#This Row],[Vertex 2]],GroupVertices[Vertex],0)),1,1,"")</f>
        <v>2</v>
      </c>
      <c r="AE24" s="105"/>
      <c r="AF24" s="105"/>
      <c r="AG24" s="105"/>
      <c r="AH24" s="105"/>
      <c r="AI24" s="105"/>
      <c r="AJ24" s="105"/>
      <c r="AK24" s="105"/>
      <c r="AL24" s="105"/>
      <c r="AM24" s="105"/>
    </row>
    <row r="25" spans="1:39" ht="15">
      <c r="A25" s="62" t="s">
        <v>227</v>
      </c>
      <c r="B25" s="62" t="s">
        <v>225</v>
      </c>
      <c r="C25" s="63" t="s">
        <v>3598</v>
      </c>
      <c r="D25" s="64">
        <v>5.2631578947368425</v>
      </c>
      <c r="E25" s="65" t="s">
        <v>136</v>
      </c>
      <c r="F25" s="66">
        <v>31.50943396226415</v>
      </c>
      <c r="G25" s="63"/>
      <c r="H25" s="67"/>
      <c r="I25" s="68"/>
      <c r="J25" s="68"/>
      <c r="K25" s="31" t="s">
        <v>65</v>
      </c>
      <c r="L25" s="76">
        <v>25</v>
      </c>
      <c r="M25" s="76"/>
      <c r="N25" s="70"/>
      <c r="O25" s="78" t="s">
        <v>305</v>
      </c>
      <c r="P25" s="78" t="s">
        <v>315</v>
      </c>
      <c r="Q25" s="78" t="s">
        <v>654</v>
      </c>
      <c r="R25" s="78" t="s">
        <v>670</v>
      </c>
      <c r="S25" s="78"/>
      <c r="T25" s="78"/>
      <c r="U25" s="78"/>
      <c r="V25" s="78"/>
      <c r="W25" s="81" t="s">
        <v>1674</v>
      </c>
      <c r="X25" s="81" t="s">
        <v>1674</v>
      </c>
      <c r="Y25" s="78"/>
      <c r="Z25" s="78"/>
      <c r="AA25" s="81" t="s">
        <v>1674</v>
      </c>
      <c r="AB25" s="79">
        <v>2</v>
      </c>
      <c r="AC25" s="80" t="str">
        <f>REPLACE(INDEX(GroupVertices[Group],MATCH("~"&amp;Edges[[#This Row],[Vertex 1]],GroupVertices[Vertex],0)),1,1,"")</f>
        <v>2</v>
      </c>
      <c r="AD25" s="80" t="str">
        <f>REPLACE(INDEX(GroupVertices[Group],MATCH("~"&amp;Edges[[#This Row],[Vertex 2]],GroupVertices[Vertex],0)),1,1,"")</f>
        <v>2</v>
      </c>
      <c r="AE25" s="105"/>
      <c r="AF25" s="105"/>
      <c r="AG25" s="105"/>
      <c r="AH25" s="105"/>
      <c r="AI25" s="105"/>
      <c r="AJ25" s="105"/>
      <c r="AK25" s="105"/>
      <c r="AL25" s="105"/>
      <c r="AM25" s="105"/>
    </row>
    <row r="26" spans="1:39" ht="15">
      <c r="A26" s="62" t="s">
        <v>227</v>
      </c>
      <c r="B26" s="62" t="s">
        <v>225</v>
      </c>
      <c r="C26" s="63" t="s">
        <v>3598</v>
      </c>
      <c r="D26" s="64">
        <v>5.2631578947368425</v>
      </c>
      <c r="E26" s="65" t="s">
        <v>136</v>
      </c>
      <c r="F26" s="66">
        <v>31.50943396226415</v>
      </c>
      <c r="G26" s="63"/>
      <c r="H26" s="67"/>
      <c r="I26" s="68"/>
      <c r="J26" s="68"/>
      <c r="K26" s="31" t="s">
        <v>65</v>
      </c>
      <c r="L26" s="76">
        <v>26</v>
      </c>
      <c r="M26" s="76"/>
      <c r="N26" s="70"/>
      <c r="O26" s="78" t="s">
        <v>305</v>
      </c>
      <c r="P26" s="78" t="s">
        <v>315</v>
      </c>
      <c r="Q26" s="78" t="s">
        <v>654</v>
      </c>
      <c r="R26" s="78" t="s">
        <v>671</v>
      </c>
      <c r="S26" s="78"/>
      <c r="T26" s="78"/>
      <c r="U26" s="78"/>
      <c r="V26" s="78"/>
      <c r="W26" s="81" t="s">
        <v>1674</v>
      </c>
      <c r="X26" s="81" t="s">
        <v>1674</v>
      </c>
      <c r="Y26" s="78"/>
      <c r="Z26" s="78"/>
      <c r="AA26" s="81" t="s">
        <v>1674</v>
      </c>
      <c r="AB26" s="79">
        <v>2</v>
      </c>
      <c r="AC26" s="80" t="str">
        <f>REPLACE(INDEX(GroupVertices[Group],MATCH("~"&amp;Edges[[#This Row],[Vertex 1]],GroupVertices[Vertex],0)),1,1,"")</f>
        <v>2</v>
      </c>
      <c r="AD26" s="80" t="str">
        <f>REPLACE(INDEX(GroupVertices[Group],MATCH("~"&amp;Edges[[#This Row],[Vertex 2]],GroupVertices[Vertex],0)),1,1,"")</f>
        <v>2</v>
      </c>
      <c r="AE26" s="105"/>
      <c r="AF26" s="105"/>
      <c r="AG26" s="105"/>
      <c r="AH26" s="105"/>
      <c r="AI26" s="105"/>
      <c r="AJ26" s="105"/>
      <c r="AK26" s="105"/>
      <c r="AL26" s="105"/>
      <c r="AM26" s="105"/>
    </row>
    <row r="27" spans="1:39" ht="15">
      <c r="A27" s="62" t="s">
        <v>227</v>
      </c>
      <c r="B27" s="62" t="s">
        <v>226</v>
      </c>
      <c r="C27" s="63" t="s">
        <v>3600</v>
      </c>
      <c r="D27" s="64">
        <v>7.894736842105264</v>
      </c>
      <c r="E27" s="65" t="s">
        <v>136</v>
      </c>
      <c r="F27" s="66">
        <v>26.60377358490566</v>
      </c>
      <c r="G27" s="63"/>
      <c r="H27" s="67"/>
      <c r="I27" s="68"/>
      <c r="J27" s="68"/>
      <c r="K27" s="31" t="s">
        <v>65</v>
      </c>
      <c r="L27" s="76">
        <v>27</v>
      </c>
      <c r="M27" s="76"/>
      <c r="N27" s="70"/>
      <c r="O27" s="78" t="s">
        <v>305</v>
      </c>
      <c r="P27" s="78" t="s">
        <v>317</v>
      </c>
      <c r="Q27" s="78" t="s">
        <v>656</v>
      </c>
      <c r="R27" s="78" t="s">
        <v>1258</v>
      </c>
      <c r="S27" s="78"/>
      <c r="T27" s="78"/>
      <c r="U27" s="78"/>
      <c r="V27" s="78"/>
      <c r="W27" s="81" t="s">
        <v>1674</v>
      </c>
      <c r="X27" s="81" t="s">
        <v>1674</v>
      </c>
      <c r="Y27" s="78"/>
      <c r="Z27" s="78"/>
      <c r="AA27" s="81" t="s">
        <v>1674</v>
      </c>
      <c r="AB27" s="79">
        <v>12</v>
      </c>
      <c r="AC27" s="80" t="str">
        <f>REPLACE(INDEX(GroupVertices[Group],MATCH("~"&amp;Edges[[#This Row],[Vertex 1]],GroupVertices[Vertex],0)),1,1,"")</f>
        <v>2</v>
      </c>
      <c r="AD27" s="80" t="str">
        <f>REPLACE(INDEX(GroupVertices[Group],MATCH("~"&amp;Edges[[#This Row],[Vertex 2]],GroupVertices[Vertex],0)),1,1,"")</f>
        <v>2</v>
      </c>
      <c r="AE27" s="105"/>
      <c r="AF27" s="105"/>
      <c r="AG27" s="105"/>
      <c r="AH27" s="105"/>
      <c r="AI27" s="105"/>
      <c r="AJ27" s="105"/>
      <c r="AK27" s="105"/>
      <c r="AL27" s="105"/>
      <c r="AM27" s="105"/>
    </row>
    <row r="28" spans="1:39" ht="15">
      <c r="A28" s="62" t="s">
        <v>227</v>
      </c>
      <c r="B28" s="62" t="s">
        <v>226</v>
      </c>
      <c r="C28" s="63" t="s">
        <v>3600</v>
      </c>
      <c r="D28" s="64">
        <v>7.894736842105264</v>
      </c>
      <c r="E28" s="65" t="s">
        <v>136</v>
      </c>
      <c r="F28" s="66">
        <v>26.60377358490566</v>
      </c>
      <c r="G28" s="63"/>
      <c r="H28" s="67"/>
      <c r="I28" s="68"/>
      <c r="J28" s="68"/>
      <c r="K28" s="31" t="s">
        <v>65</v>
      </c>
      <c r="L28" s="76">
        <v>28</v>
      </c>
      <c r="M28" s="76"/>
      <c r="N28" s="70"/>
      <c r="O28" s="78" t="s">
        <v>305</v>
      </c>
      <c r="P28" s="78" t="s">
        <v>317</v>
      </c>
      <c r="Q28" s="78" t="s">
        <v>656</v>
      </c>
      <c r="R28" s="78" t="s">
        <v>1259</v>
      </c>
      <c r="S28" s="78"/>
      <c r="T28" s="78"/>
      <c r="U28" s="78"/>
      <c r="V28" s="78"/>
      <c r="W28" s="81" t="s">
        <v>1674</v>
      </c>
      <c r="X28" s="81" t="s">
        <v>1674</v>
      </c>
      <c r="Y28" s="78"/>
      <c r="Z28" s="78"/>
      <c r="AA28" s="81" t="s">
        <v>1674</v>
      </c>
      <c r="AB28" s="79">
        <v>12</v>
      </c>
      <c r="AC28" s="80" t="str">
        <f>REPLACE(INDEX(GroupVertices[Group],MATCH("~"&amp;Edges[[#This Row],[Vertex 1]],GroupVertices[Vertex],0)),1,1,"")</f>
        <v>2</v>
      </c>
      <c r="AD28" s="80" t="str">
        <f>REPLACE(INDEX(GroupVertices[Group],MATCH("~"&amp;Edges[[#This Row],[Vertex 2]],GroupVertices[Vertex],0)),1,1,"")</f>
        <v>2</v>
      </c>
      <c r="AE28" s="105"/>
      <c r="AF28" s="105"/>
      <c r="AG28" s="105"/>
      <c r="AH28" s="105"/>
      <c r="AI28" s="105"/>
      <c r="AJ28" s="105"/>
      <c r="AK28" s="105"/>
      <c r="AL28" s="105"/>
      <c r="AM28" s="105"/>
    </row>
    <row r="29" spans="1:39" ht="15">
      <c r="A29" s="62" t="s">
        <v>227</v>
      </c>
      <c r="B29" s="62" t="s">
        <v>226</v>
      </c>
      <c r="C29" s="63" t="s">
        <v>3600</v>
      </c>
      <c r="D29" s="64">
        <v>7.894736842105264</v>
      </c>
      <c r="E29" s="65" t="s">
        <v>136</v>
      </c>
      <c r="F29" s="66">
        <v>26.60377358490566</v>
      </c>
      <c r="G29" s="63"/>
      <c r="H29" s="67"/>
      <c r="I29" s="68"/>
      <c r="J29" s="68"/>
      <c r="K29" s="31" t="s">
        <v>65</v>
      </c>
      <c r="L29" s="76">
        <v>29</v>
      </c>
      <c r="M29" s="76"/>
      <c r="N29" s="70"/>
      <c r="O29" s="78" t="s">
        <v>305</v>
      </c>
      <c r="P29" s="78" t="s">
        <v>317</v>
      </c>
      <c r="Q29" s="78" t="s">
        <v>657</v>
      </c>
      <c r="R29" s="78" t="s">
        <v>1258</v>
      </c>
      <c r="S29" s="78"/>
      <c r="T29" s="78"/>
      <c r="U29" s="78"/>
      <c r="V29" s="78"/>
      <c r="W29" s="81" t="s">
        <v>1674</v>
      </c>
      <c r="X29" s="81" t="s">
        <v>1674</v>
      </c>
      <c r="Y29" s="78"/>
      <c r="Z29" s="78"/>
      <c r="AA29" s="81" t="s">
        <v>1674</v>
      </c>
      <c r="AB29" s="79">
        <v>12</v>
      </c>
      <c r="AC29" s="80" t="str">
        <f>REPLACE(INDEX(GroupVertices[Group],MATCH("~"&amp;Edges[[#This Row],[Vertex 1]],GroupVertices[Vertex],0)),1,1,"")</f>
        <v>2</v>
      </c>
      <c r="AD29" s="80" t="str">
        <f>REPLACE(INDEX(GroupVertices[Group],MATCH("~"&amp;Edges[[#This Row],[Vertex 2]],GroupVertices[Vertex],0)),1,1,"")</f>
        <v>2</v>
      </c>
      <c r="AE29" s="105"/>
      <c r="AF29" s="105"/>
      <c r="AG29" s="105"/>
      <c r="AH29" s="105"/>
      <c r="AI29" s="105"/>
      <c r="AJ29" s="105"/>
      <c r="AK29" s="105"/>
      <c r="AL29" s="105"/>
      <c r="AM29" s="105"/>
    </row>
    <row r="30" spans="1:39" ht="15">
      <c r="A30" s="62" t="s">
        <v>227</v>
      </c>
      <c r="B30" s="62" t="s">
        <v>226</v>
      </c>
      <c r="C30" s="63" t="s">
        <v>3600</v>
      </c>
      <c r="D30" s="64">
        <v>7.894736842105264</v>
      </c>
      <c r="E30" s="65" t="s">
        <v>136</v>
      </c>
      <c r="F30" s="66">
        <v>26.60377358490566</v>
      </c>
      <c r="G30" s="63"/>
      <c r="H30" s="67"/>
      <c r="I30" s="68"/>
      <c r="J30" s="68"/>
      <c r="K30" s="31" t="s">
        <v>65</v>
      </c>
      <c r="L30" s="76">
        <v>30</v>
      </c>
      <c r="M30" s="76"/>
      <c r="N30" s="70"/>
      <c r="O30" s="78" t="s">
        <v>305</v>
      </c>
      <c r="P30" s="78" t="s">
        <v>317</v>
      </c>
      <c r="Q30" s="78" t="s">
        <v>657</v>
      </c>
      <c r="R30" s="78" t="s">
        <v>1259</v>
      </c>
      <c r="S30" s="78"/>
      <c r="T30" s="78"/>
      <c r="U30" s="78"/>
      <c r="V30" s="78"/>
      <c r="W30" s="81" t="s">
        <v>1674</v>
      </c>
      <c r="X30" s="81" t="s">
        <v>1674</v>
      </c>
      <c r="Y30" s="78"/>
      <c r="Z30" s="78"/>
      <c r="AA30" s="81" t="s">
        <v>1674</v>
      </c>
      <c r="AB30" s="79">
        <v>12</v>
      </c>
      <c r="AC30" s="80" t="str">
        <f>REPLACE(INDEX(GroupVertices[Group],MATCH("~"&amp;Edges[[#This Row],[Vertex 1]],GroupVertices[Vertex],0)),1,1,"")</f>
        <v>2</v>
      </c>
      <c r="AD30" s="80" t="str">
        <f>REPLACE(INDEX(GroupVertices[Group],MATCH("~"&amp;Edges[[#This Row],[Vertex 2]],GroupVertices[Vertex],0)),1,1,"")</f>
        <v>2</v>
      </c>
      <c r="AE30" s="105"/>
      <c r="AF30" s="105"/>
      <c r="AG30" s="105"/>
      <c r="AH30" s="105"/>
      <c r="AI30" s="105"/>
      <c r="AJ30" s="105"/>
      <c r="AK30" s="105"/>
      <c r="AL30" s="105"/>
      <c r="AM30" s="105"/>
    </row>
    <row r="31" spans="1:39" ht="15">
      <c r="A31" s="62" t="s">
        <v>227</v>
      </c>
      <c r="B31" s="62" t="s">
        <v>226</v>
      </c>
      <c r="C31" s="63" t="s">
        <v>3600</v>
      </c>
      <c r="D31" s="64">
        <v>7.894736842105264</v>
      </c>
      <c r="E31" s="65" t="s">
        <v>136</v>
      </c>
      <c r="F31" s="66">
        <v>26.60377358490566</v>
      </c>
      <c r="G31" s="63"/>
      <c r="H31" s="67"/>
      <c r="I31" s="68"/>
      <c r="J31" s="68"/>
      <c r="K31" s="31" t="s">
        <v>65</v>
      </c>
      <c r="L31" s="76">
        <v>31</v>
      </c>
      <c r="M31" s="76"/>
      <c r="N31" s="70"/>
      <c r="O31" s="78" t="s">
        <v>305</v>
      </c>
      <c r="P31" s="78" t="s">
        <v>317</v>
      </c>
      <c r="Q31" s="78" t="s">
        <v>658</v>
      </c>
      <c r="R31" s="78" t="s">
        <v>1258</v>
      </c>
      <c r="S31" s="78"/>
      <c r="T31" s="78"/>
      <c r="U31" s="78"/>
      <c r="V31" s="78"/>
      <c r="W31" s="81" t="s">
        <v>1674</v>
      </c>
      <c r="X31" s="81" t="s">
        <v>1674</v>
      </c>
      <c r="Y31" s="78"/>
      <c r="Z31" s="78"/>
      <c r="AA31" s="81" t="s">
        <v>1674</v>
      </c>
      <c r="AB31" s="79">
        <v>12</v>
      </c>
      <c r="AC31" s="80" t="str">
        <f>REPLACE(INDEX(GroupVertices[Group],MATCH("~"&amp;Edges[[#This Row],[Vertex 1]],GroupVertices[Vertex],0)),1,1,"")</f>
        <v>2</v>
      </c>
      <c r="AD31" s="80" t="str">
        <f>REPLACE(INDEX(GroupVertices[Group],MATCH("~"&amp;Edges[[#This Row],[Vertex 2]],GroupVertices[Vertex],0)),1,1,"")</f>
        <v>2</v>
      </c>
      <c r="AE31" s="105"/>
      <c r="AF31" s="105"/>
      <c r="AG31" s="105"/>
      <c r="AH31" s="105"/>
      <c r="AI31" s="105"/>
      <c r="AJ31" s="105"/>
      <c r="AK31" s="105"/>
      <c r="AL31" s="105"/>
      <c r="AM31" s="105"/>
    </row>
    <row r="32" spans="1:39" ht="15">
      <c r="A32" s="62" t="s">
        <v>227</v>
      </c>
      <c r="B32" s="62" t="s">
        <v>226</v>
      </c>
      <c r="C32" s="63" t="s">
        <v>3600</v>
      </c>
      <c r="D32" s="64">
        <v>7.894736842105264</v>
      </c>
      <c r="E32" s="65" t="s">
        <v>136</v>
      </c>
      <c r="F32" s="66">
        <v>26.60377358490566</v>
      </c>
      <c r="G32" s="63"/>
      <c r="H32" s="67"/>
      <c r="I32" s="68"/>
      <c r="J32" s="68"/>
      <c r="K32" s="31" t="s">
        <v>65</v>
      </c>
      <c r="L32" s="76">
        <v>32</v>
      </c>
      <c r="M32" s="76"/>
      <c r="N32" s="70"/>
      <c r="O32" s="78" t="s">
        <v>305</v>
      </c>
      <c r="P32" s="78" t="s">
        <v>317</v>
      </c>
      <c r="Q32" s="78" t="s">
        <v>658</v>
      </c>
      <c r="R32" s="78" t="s">
        <v>1259</v>
      </c>
      <c r="S32" s="78"/>
      <c r="T32" s="78"/>
      <c r="U32" s="78"/>
      <c r="V32" s="78"/>
      <c r="W32" s="81" t="s">
        <v>1674</v>
      </c>
      <c r="X32" s="81" t="s">
        <v>1674</v>
      </c>
      <c r="Y32" s="78"/>
      <c r="Z32" s="78"/>
      <c r="AA32" s="81" t="s">
        <v>1674</v>
      </c>
      <c r="AB32" s="79">
        <v>12</v>
      </c>
      <c r="AC32" s="80" t="str">
        <f>REPLACE(INDEX(GroupVertices[Group],MATCH("~"&amp;Edges[[#This Row],[Vertex 1]],GroupVertices[Vertex],0)),1,1,"")</f>
        <v>2</v>
      </c>
      <c r="AD32" s="80" t="str">
        <f>REPLACE(INDEX(GroupVertices[Group],MATCH("~"&amp;Edges[[#This Row],[Vertex 2]],GroupVertices[Vertex],0)),1,1,"")</f>
        <v>2</v>
      </c>
      <c r="AE32" s="105"/>
      <c r="AF32" s="105"/>
      <c r="AG32" s="105"/>
      <c r="AH32" s="105"/>
      <c r="AI32" s="105"/>
      <c r="AJ32" s="105"/>
      <c r="AK32" s="105"/>
      <c r="AL32" s="105"/>
      <c r="AM32" s="105"/>
    </row>
    <row r="33" spans="1:39" ht="15">
      <c r="A33" s="62" t="s">
        <v>227</v>
      </c>
      <c r="B33" s="62" t="s">
        <v>226</v>
      </c>
      <c r="C33" s="63" t="s">
        <v>3600</v>
      </c>
      <c r="D33" s="64">
        <v>7.894736842105264</v>
      </c>
      <c r="E33" s="65" t="s">
        <v>136</v>
      </c>
      <c r="F33" s="66">
        <v>26.60377358490566</v>
      </c>
      <c r="G33" s="63"/>
      <c r="H33" s="67"/>
      <c r="I33" s="68"/>
      <c r="J33" s="68"/>
      <c r="K33" s="31" t="s">
        <v>65</v>
      </c>
      <c r="L33" s="76">
        <v>33</v>
      </c>
      <c r="M33" s="76"/>
      <c r="N33" s="70"/>
      <c r="O33" s="78" t="s">
        <v>305</v>
      </c>
      <c r="P33" s="78" t="s">
        <v>317</v>
      </c>
      <c r="Q33" s="78" t="s">
        <v>659</v>
      </c>
      <c r="R33" s="78" t="s">
        <v>1258</v>
      </c>
      <c r="S33" s="78"/>
      <c r="T33" s="78"/>
      <c r="U33" s="78"/>
      <c r="V33" s="78"/>
      <c r="W33" s="81" t="s">
        <v>1674</v>
      </c>
      <c r="X33" s="81" t="s">
        <v>1674</v>
      </c>
      <c r="Y33" s="78"/>
      <c r="Z33" s="78"/>
      <c r="AA33" s="81" t="s">
        <v>1674</v>
      </c>
      <c r="AB33" s="79">
        <v>12</v>
      </c>
      <c r="AC33" s="80" t="str">
        <f>REPLACE(INDEX(GroupVertices[Group],MATCH("~"&amp;Edges[[#This Row],[Vertex 1]],GroupVertices[Vertex],0)),1,1,"")</f>
        <v>2</v>
      </c>
      <c r="AD33" s="80" t="str">
        <f>REPLACE(INDEX(GroupVertices[Group],MATCH("~"&amp;Edges[[#This Row],[Vertex 2]],GroupVertices[Vertex],0)),1,1,"")</f>
        <v>2</v>
      </c>
      <c r="AE33" s="105"/>
      <c r="AF33" s="105"/>
      <c r="AG33" s="105"/>
      <c r="AH33" s="105"/>
      <c r="AI33" s="105"/>
      <c r="AJ33" s="105"/>
      <c r="AK33" s="105"/>
      <c r="AL33" s="105"/>
      <c r="AM33" s="105"/>
    </row>
    <row r="34" spans="1:39" ht="15">
      <c r="A34" s="62" t="s">
        <v>227</v>
      </c>
      <c r="B34" s="62" t="s">
        <v>226</v>
      </c>
      <c r="C34" s="63" t="s">
        <v>3600</v>
      </c>
      <c r="D34" s="64">
        <v>7.894736842105264</v>
      </c>
      <c r="E34" s="65" t="s">
        <v>136</v>
      </c>
      <c r="F34" s="66">
        <v>26.60377358490566</v>
      </c>
      <c r="G34" s="63"/>
      <c r="H34" s="67"/>
      <c r="I34" s="68"/>
      <c r="J34" s="68"/>
      <c r="K34" s="31" t="s">
        <v>65</v>
      </c>
      <c r="L34" s="76">
        <v>34</v>
      </c>
      <c r="M34" s="76"/>
      <c r="N34" s="70"/>
      <c r="O34" s="78" t="s">
        <v>305</v>
      </c>
      <c r="P34" s="78" t="s">
        <v>317</v>
      </c>
      <c r="Q34" s="78" t="s">
        <v>659</v>
      </c>
      <c r="R34" s="78" t="s">
        <v>1259</v>
      </c>
      <c r="S34" s="78"/>
      <c r="T34" s="78"/>
      <c r="U34" s="78"/>
      <c r="V34" s="78"/>
      <c r="W34" s="81" t="s">
        <v>1674</v>
      </c>
      <c r="X34" s="81" t="s">
        <v>1674</v>
      </c>
      <c r="Y34" s="78"/>
      <c r="Z34" s="78"/>
      <c r="AA34" s="81" t="s">
        <v>1674</v>
      </c>
      <c r="AB34" s="79">
        <v>12</v>
      </c>
      <c r="AC34" s="80" t="str">
        <f>REPLACE(INDEX(GroupVertices[Group],MATCH("~"&amp;Edges[[#This Row],[Vertex 1]],GroupVertices[Vertex],0)),1,1,"")</f>
        <v>2</v>
      </c>
      <c r="AD34" s="80" t="str">
        <f>REPLACE(INDEX(GroupVertices[Group],MATCH("~"&amp;Edges[[#This Row],[Vertex 2]],GroupVertices[Vertex],0)),1,1,"")</f>
        <v>2</v>
      </c>
      <c r="AE34" s="105"/>
      <c r="AF34" s="105"/>
      <c r="AG34" s="105"/>
      <c r="AH34" s="105"/>
      <c r="AI34" s="105"/>
      <c r="AJ34" s="105"/>
      <c r="AK34" s="105"/>
      <c r="AL34" s="105"/>
      <c r="AM34" s="105"/>
    </row>
    <row r="35" spans="1:39" ht="15">
      <c r="A35" s="62" t="s">
        <v>227</v>
      </c>
      <c r="B35" s="62" t="s">
        <v>226</v>
      </c>
      <c r="C35" s="63" t="s">
        <v>3600</v>
      </c>
      <c r="D35" s="64">
        <v>7.894736842105264</v>
      </c>
      <c r="E35" s="65" t="s">
        <v>136</v>
      </c>
      <c r="F35" s="66">
        <v>26.60377358490566</v>
      </c>
      <c r="G35" s="63"/>
      <c r="H35" s="67"/>
      <c r="I35" s="68"/>
      <c r="J35" s="68"/>
      <c r="K35" s="31" t="s">
        <v>65</v>
      </c>
      <c r="L35" s="76">
        <v>35</v>
      </c>
      <c r="M35" s="76"/>
      <c r="N35" s="70"/>
      <c r="O35" s="78" t="s">
        <v>305</v>
      </c>
      <c r="P35" s="78" t="s">
        <v>317</v>
      </c>
      <c r="Q35" s="78" t="s">
        <v>660</v>
      </c>
      <c r="R35" s="78" t="s">
        <v>1258</v>
      </c>
      <c r="S35" s="78"/>
      <c r="T35" s="78"/>
      <c r="U35" s="78"/>
      <c r="V35" s="78"/>
      <c r="W35" s="81" t="s">
        <v>1674</v>
      </c>
      <c r="X35" s="81" t="s">
        <v>1674</v>
      </c>
      <c r="Y35" s="78"/>
      <c r="Z35" s="78"/>
      <c r="AA35" s="81" t="s">
        <v>1674</v>
      </c>
      <c r="AB35" s="79">
        <v>12</v>
      </c>
      <c r="AC35" s="80" t="str">
        <f>REPLACE(INDEX(GroupVertices[Group],MATCH("~"&amp;Edges[[#This Row],[Vertex 1]],GroupVertices[Vertex],0)),1,1,"")</f>
        <v>2</v>
      </c>
      <c r="AD35" s="80" t="str">
        <f>REPLACE(INDEX(GroupVertices[Group],MATCH("~"&amp;Edges[[#This Row],[Vertex 2]],GroupVertices[Vertex],0)),1,1,"")</f>
        <v>2</v>
      </c>
      <c r="AE35" s="105"/>
      <c r="AF35" s="105"/>
      <c r="AG35" s="105"/>
      <c r="AH35" s="105"/>
      <c r="AI35" s="105"/>
      <c r="AJ35" s="105"/>
      <c r="AK35" s="105"/>
      <c r="AL35" s="105"/>
      <c r="AM35" s="105"/>
    </row>
    <row r="36" spans="1:39" ht="15">
      <c r="A36" s="62" t="s">
        <v>227</v>
      </c>
      <c r="B36" s="62" t="s">
        <v>226</v>
      </c>
      <c r="C36" s="63" t="s">
        <v>3600</v>
      </c>
      <c r="D36" s="64">
        <v>7.894736842105264</v>
      </c>
      <c r="E36" s="65" t="s">
        <v>136</v>
      </c>
      <c r="F36" s="66">
        <v>26.60377358490566</v>
      </c>
      <c r="G36" s="63"/>
      <c r="H36" s="67"/>
      <c r="I36" s="68"/>
      <c r="J36" s="68"/>
      <c r="K36" s="31" t="s">
        <v>65</v>
      </c>
      <c r="L36" s="76">
        <v>36</v>
      </c>
      <c r="M36" s="76"/>
      <c r="N36" s="70"/>
      <c r="O36" s="78" t="s">
        <v>305</v>
      </c>
      <c r="P36" s="78" t="s">
        <v>317</v>
      </c>
      <c r="Q36" s="78" t="s">
        <v>660</v>
      </c>
      <c r="R36" s="78" t="s">
        <v>1259</v>
      </c>
      <c r="S36" s="78"/>
      <c r="T36" s="78"/>
      <c r="U36" s="78"/>
      <c r="V36" s="78"/>
      <c r="W36" s="81" t="s">
        <v>1674</v>
      </c>
      <c r="X36" s="81" t="s">
        <v>1674</v>
      </c>
      <c r="Y36" s="78"/>
      <c r="Z36" s="78"/>
      <c r="AA36" s="81" t="s">
        <v>1674</v>
      </c>
      <c r="AB36" s="79">
        <v>12</v>
      </c>
      <c r="AC36" s="80" t="str">
        <f>REPLACE(INDEX(GroupVertices[Group],MATCH("~"&amp;Edges[[#This Row],[Vertex 1]],GroupVertices[Vertex],0)),1,1,"")</f>
        <v>2</v>
      </c>
      <c r="AD36" s="80" t="str">
        <f>REPLACE(INDEX(GroupVertices[Group],MATCH("~"&amp;Edges[[#This Row],[Vertex 2]],GroupVertices[Vertex],0)),1,1,"")</f>
        <v>2</v>
      </c>
      <c r="AE36" s="105"/>
      <c r="AF36" s="105"/>
      <c r="AG36" s="105"/>
      <c r="AH36" s="105"/>
      <c r="AI36" s="105"/>
      <c r="AJ36" s="105"/>
      <c r="AK36" s="105"/>
      <c r="AL36" s="105"/>
      <c r="AM36" s="105"/>
    </row>
    <row r="37" spans="1:39" ht="15">
      <c r="A37" s="62" t="s">
        <v>227</v>
      </c>
      <c r="B37" s="62" t="s">
        <v>226</v>
      </c>
      <c r="C37" s="63" t="s">
        <v>3600</v>
      </c>
      <c r="D37" s="64">
        <v>7.894736842105264</v>
      </c>
      <c r="E37" s="65" t="s">
        <v>136</v>
      </c>
      <c r="F37" s="66">
        <v>26.60377358490566</v>
      </c>
      <c r="G37" s="63"/>
      <c r="H37" s="67"/>
      <c r="I37" s="68"/>
      <c r="J37" s="68"/>
      <c r="K37" s="31" t="s">
        <v>65</v>
      </c>
      <c r="L37" s="76">
        <v>37</v>
      </c>
      <c r="M37" s="76"/>
      <c r="N37" s="70"/>
      <c r="O37" s="78" t="s">
        <v>305</v>
      </c>
      <c r="P37" s="78" t="s">
        <v>317</v>
      </c>
      <c r="Q37" s="78" t="s">
        <v>661</v>
      </c>
      <c r="R37" s="78" t="s">
        <v>1258</v>
      </c>
      <c r="S37" s="78"/>
      <c r="T37" s="78"/>
      <c r="U37" s="78"/>
      <c r="V37" s="78"/>
      <c r="W37" s="81" t="s">
        <v>1674</v>
      </c>
      <c r="X37" s="81" t="s">
        <v>1674</v>
      </c>
      <c r="Y37" s="78"/>
      <c r="Z37" s="78"/>
      <c r="AA37" s="81" t="s">
        <v>1674</v>
      </c>
      <c r="AB37" s="79">
        <v>12</v>
      </c>
      <c r="AC37" s="80" t="str">
        <f>REPLACE(INDEX(GroupVertices[Group],MATCH("~"&amp;Edges[[#This Row],[Vertex 1]],GroupVertices[Vertex],0)),1,1,"")</f>
        <v>2</v>
      </c>
      <c r="AD37" s="80" t="str">
        <f>REPLACE(INDEX(GroupVertices[Group],MATCH("~"&amp;Edges[[#This Row],[Vertex 2]],GroupVertices[Vertex],0)),1,1,"")</f>
        <v>2</v>
      </c>
      <c r="AE37" s="105"/>
      <c r="AF37" s="105"/>
      <c r="AG37" s="105"/>
      <c r="AH37" s="105"/>
      <c r="AI37" s="105"/>
      <c r="AJ37" s="105"/>
      <c r="AK37" s="105"/>
      <c r="AL37" s="105"/>
      <c r="AM37" s="105"/>
    </row>
    <row r="38" spans="1:39" ht="15">
      <c r="A38" s="62" t="s">
        <v>227</v>
      </c>
      <c r="B38" s="62" t="s">
        <v>226</v>
      </c>
      <c r="C38" s="63" t="s">
        <v>3600</v>
      </c>
      <c r="D38" s="64">
        <v>7.894736842105264</v>
      </c>
      <c r="E38" s="65" t="s">
        <v>136</v>
      </c>
      <c r="F38" s="66">
        <v>26.60377358490566</v>
      </c>
      <c r="G38" s="63"/>
      <c r="H38" s="67"/>
      <c r="I38" s="68"/>
      <c r="J38" s="68"/>
      <c r="K38" s="31" t="s">
        <v>65</v>
      </c>
      <c r="L38" s="76">
        <v>38</v>
      </c>
      <c r="M38" s="76"/>
      <c r="N38" s="70"/>
      <c r="O38" s="78" t="s">
        <v>305</v>
      </c>
      <c r="P38" s="78" t="s">
        <v>317</v>
      </c>
      <c r="Q38" s="78" t="s">
        <v>661</v>
      </c>
      <c r="R38" s="78" t="s">
        <v>1259</v>
      </c>
      <c r="S38" s="78"/>
      <c r="T38" s="78"/>
      <c r="U38" s="78"/>
      <c r="V38" s="78"/>
      <c r="W38" s="81" t="s">
        <v>1674</v>
      </c>
      <c r="X38" s="81" t="s">
        <v>1674</v>
      </c>
      <c r="Y38" s="78"/>
      <c r="Z38" s="78"/>
      <c r="AA38" s="81" t="s">
        <v>1674</v>
      </c>
      <c r="AB38" s="79">
        <v>12</v>
      </c>
      <c r="AC38" s="80" t="str">
        <f>REPLACE(INDEX(GroupVertices[Group],MATCH("~"&amp;Edges[[#This Row],[Vertex 1]],GroupVertices[Vertex],0)),1,1,"")</f>
        <v>2</v>
      </c>
      <c r="AD38" s="80" t="str">
        <f>REPLACE(INDEX(GroupVertices[Group],MATCH("~"&amp;Edges[[#This Row],[Vertex 2]],GroupVertices[Vertex],0)),1,1,"")</f>
        <v>2</v>
      </c>
      <c r="AE38" s="105"/>
      <c r="AF38" s="105"/>
      <c r="AG38" s="105"/>
      <c r="AH38" s="105"/>
      <c r="AI38" s="105"/>
      <c r="AJ38" s="105"/>
      <c r="AK38" s="105"/>
      <c r="AL38" s="105"/>
      <c r="AM38" s="105"/>
    </row>
    <row r="39" spans="1:39" ht="15">
      <c r="A39" s="62" t="s">
        <v>226</v>
      </c>
      <c r="B39" s="62" t="s">
        <v>225</v>
      </c>
      <c r="C39" s="63" t="s">
        <v>3598</v>
      </c>
      <c r="D39" s="64">
        <v>5</v>
      </c>
      <c r="E39" s="65" t="s">
        <v>132</v>
      </c>
      <c r="F39" s="66">
        <v>32</v>
      </c>
      <c r="G39" s="63"/>
      <c r="H39" s="67"/>
      <c r="I39" s="68"/>
      <c r="J39" s="68"/>
      <c r="K39" s="31" t="s">
        <v>65</v>
      </c>
      <c r="L39" s="76">
        <v>39</v>
      </c>
      <c r="M39" s="76"/>
      <c r="N39" s="70"/>
      <c r="O39" s="78" t="s">
        <v>305</v>
      </c>
      <c r="P39" s="78" t="s">
        <v>313</v>
      </c>
      <c r="Q39" s="78" t="s">
        <v>652</v>
      </c>
      <c r="R39" s="78" t="s">
        <v>651</v>
      </c>
      <c r="S39" s="78"/>
      <c r="T39" s="78" t="s">
        <v>1643</v>
      </c>
      <c r="U39" s="78"/>
      <c r="V39" s="78" t="s">
        <v>1669</v>
      </c>
      <c r="W39" s="81" t="s">
        <v>1674</v>
      </c>
      <c r="X39" s="81" t="s">
        <v>1674</v>
      </c>
      <c r="Y39" s="78" t="s">
        <v>1676</v>
      </c>
      <c r="Z39" s="78" t="s">
        <v>1708</v>
      </c>
      <c r="AA39" s="81" t="s">
        <v>1674</v>
      </c>
      <c r="AB39" s="79">
        <v>1</v>
      </c>
      <c r="AC39" s="80" t="str">
        <f>REPLACE(INDEX(GroupVertices[Group],MATCH("~"&amp;Edges[[#This Row],[Vertex 1]],GroupVertices[Vertex],0)),1,1,"")</f>
        <v>2</v>
      </c>
      <c r="AD39" s="80" t="str">
        <f>REPLACE(INDEX(GroupVertices[Group],MATCH("~"&amp;Edges[[#This Row],[Vertex 2]],GroupVertices[Vertex],0)),1,1,"")</f>
        <v>2</v>
      </c>
      <c r="AE39" s="105"/>
      <c r="AF39" s="105"/>
      <c r="AG39" s="105"/>
      <c r="AH39" s="105"/>
      <c r="AI39" s="105"/>
      <c r="AJ39" s="105"/>
      <c r="AK39" s="105"/>
      <c r="AL39" s="105"/>
      <c r="AM39" s="105"/>
    </row>
    <row r="40" spans="1:39" ht="15">
      <c r="A40" s="62" t="s">
        <v>226</v>
      </c>
      <c r="B40" s="62" t="s">
        <v>236</v>
      </c>
      <c r="C40" s="63" t="s">
        <v>3598</v>
      </c>
      <c r="D40" s="64">
        <v>5</v>
      </c>
      <c r="E40" s="65" t="s">
        <v>132</v>
      </c>
      <c r="F40" s="66">
        <v>32</v>
      </c>
      <c r="G40" s="63"/>
      <c r="H40" s="67"/>
      <c r="I40" s="68"/>
      <c r="J40" s="68"/>
      <c r="K40" s="31" t="s">
        <v>65</v>
      </c>
      <c r="L40" s="76">
        <v>40</v>
      </c>
      <c r="M40" s="76"/>
      <c r="N40" s="70"/>
      <c r="O40" s="78" t="s">
        <v>305</v>
      </c>
      <c r="P40" s="78" t="s">
        <v>318</v>
      </c>
      <c r="Q40" s="78" t="s">
        <v>662</v>
      </c>
      <c r="R40" s="78" t="s">
        <v>1260</v>
      </c>
      <c r="S40" s="78"/>
      <c r="T40" s="78"/>
      <c r="U40" s="78"/>
      <c r="V40" s="78"/>
      <c r="W40" s="81" t="s">
        <v>1674</v>
      </c>
      <c r="X40" s="81" t="s">
        <v>1674</v>
      </c>
      <c r="Y40" s="78"/>
      <c r="Z40" s="78"/>
      <c r="AA40" s="81" t="s">
        <v>1674</v>
      </c>
      <c r="AB40" s="79">
        <v>1</v>
      </c>
      <c r="AC40" s="80" t="str">
        <f>REPLACE(INDEX(GroupVertices[Group],MATCH("~"&amp;Edges[[#This Row],[Vertex 1]],GroupVertices[Vertex],0)),1,1,"")</f>
        <v>2</v>
      </c>
      <c r="AD40" s="80" t="str">
        <f>REPLACE(INDEX(GroupVertices[Group],MATCH("~"&amp;Edges[[#This Row],[Vertex 2]],GroupVertices[Vertex],0)),1,1,"")</f>
        <v>5</v>
      </c>
      <c r="AE40" s="105"/>
      <c r="AF40" s="105"/>
      <c r="AG40" s="105"/>
      <c r="AH40" s="105"/>
      <c r="AI40" s="105"/>
      <c r="AJ40" s="105"/>
      <c r="AK40" s="105"/>
      <c r="AL40" s="105"/>
      <c r="AM40" s="105"/>
    </row>
    <row r="41" spans="1:39" ht="15">
      <c r="A41" s="62" t="s">
        <v>228</v>
      </c>
      <c r="B41" s="62" t="s">
        <v>226</v>
      </c>
      <c r="C41" s="63" t="s">
        <v>3598</v>
      </c>
      <c r="D41" s="64">
        <v>5</v>
      </c>
      <c r="E41" s="65" t="s">
        <v>132</v>
      </c>
      <c r="F41" s="66">
        <v>32</v>
      </c>
      <c r="G41" s="63"/>
      <c r="H41" s="67"/>
      <c r="I41" s="68"/>
      <c r="J41" s="68"/>
      <c r="K41" s="31" t="s">
        <v>65</v>
      </c>
      <c r="L41" s="76">
        <v>41</v>
      </c>
      <c r="M41" s="76"/>
      <c r="N41" s="70"/>
      <c r="O41" s="78" t="s">
        <v>305</v>
      </c>
      <c r="P41" s="78" t="s">
        <v>319</v>
      </c>
      <c r="Q41" s="78" t="s">
        <v>663</v>
      </c>
      <c r="R41" s="78" t="s">
        <v>1261</v>
      </c>
      <c r="S41" s="78"/>
      <c r="T41" s="78"/>
      <c r="U41" s="78"/>
      <c r="V41" s="78"/>
      <c r="W41" s="81" t="s">
        <v>1674</v>
      </c>
      <c r="X41" s="81" t="s">
        <v>1674</v>
      </c>
      <c r="Y41" s="78"/>
      <c r="Z41" s="78"/>
      <c r="AA41" s="81" t="s">
        <v>1674</v>
      </c>
      <c r="AB41" s="79">
        <v>1</v>
      </c>
      <c r="AC41" s="80" t="str">
        <f>REPLACE(INDEX(GroupVertices[Group],MATCH("~"&amp;Edges[[#This Row],[Vertex 1]],GroupVertices[Vertex],0)),1,1,"")</f>
        <v>1</v>
      </c>
      <c r="AD41" s="80" t="str">
        <f>REPLACE(INDEX(GroupVertices[Group],MATCH("~"&amp;Edges[[#This Row],[Vertex 2]],GroupVertices[Vertex],0)),1,1,"")</f>
        <v>2</v>
      </c>
      <c r="AE41" s="105"/>
      <c r="AF41" s="105"/>
      <c r="AG41" s="105"/>
      <c r="AH41" s="105"/>
      <c r="AI41" s="105"/>
      <c r="AJ41" s="105"/>
      <c r="AK41" s="105"/>
      <c r="AL41" s="105"/>
      <c r="AM41" s="105"/>
    </row>
    <row r="42" spans="1:39" ht="15">
      <c r="A42" s="62" t="s">
        <v>225</v>
      </c>
      <c r="B42" s="62" t="s">
        <v>295</v>
      </c>
      <c r="C42" s="63" t="s">
        <v>3601</v>
      </c>
      <c r="D42" s="64">
        <v>7.631578947368421</v>
      </c>
      <c r="E42" s="65" t="s">
        <v>136</v>
      </c>
      <c r="F42" s="66">
        <v>27.09433962264151</v>
      </c>
      <c r="G42" s="63"/>
      <c r="H42" s="67"/>
      <c r="I42" s="68"/>
      <c r="J42" s="68"/>
      <c r="K42" s="31" t="s">
        <v>65</v>
      </c>
      <c r="L42" s="76">
        <v>42</v>
      </c>
      <c r="M42" s="76"/>
      <c r="N42" s="70"/>
      <c r="O42" s="78" t="s">
        <v>305</v>
      </c>
      <c r="P42" s="78" t="s">
        <v>320</v>
      </c>
      <c r="Q42" s="78" t="s">
        <v>664</v>
      </c>
      <c r="R42" s="78" t="s">
        <v>1262</v>
      </c>
      <c r="S42" s="78"/>
      <c r="T42" s="78"/>
      <c r="U42" s="78"/>
      <c r="V42" s="78"/>
      <c r="W42" s="81" t="s">
        <v>1674</v>
      </c>
      <c r="X42" s="81" t="s">
        <v>1674</v>
      </c>
      <c r="Y42" s="78"/>
      <c r="Z42" s="78"/>
      <c r="AA42" s="81" t="s">
        <v>1674</v>
      </c>
      <c r="AB42" s="79">
        <v>11</v>
      </c>
      <c r="AC42" s="80" t="str">
        <f>REPLACE(INDEX(GroupVertices[Group],MATCH("~"&amp;Edges[[#This Row],[Vertex 1]],GroupVertices[Vertex],0)),1,1,"")</f>
        <v>2</v>
      </c>
      <c r="AD42" s="80" t="str">
        <f>REPLACE(INDEX(GroupVertices[Group],MATCH("~"&amp;Edges[[#This Row],[Vertex 2]],GroupVertices[Vertex],0)),1,1,"")</f>
        <v>2</v>
      </c>
      <c r="AE42" s="105"/>
      <c r="AF42" s="105"/>
      <c r="AG42" s="105"/>
      <c r="AH42" s="105"/>
      <c r="AI42" s="105"/>
      <c r="AJ42" s="105"/>
      <c r="AK42" s="105"/>
      <c r="AL42" s="105"/>
      <c r="AM42" s="105"/>
    </row>
    <row r="43" spans="1:39" ht="15">
      <c r="A43" s="62" t="s">
        <v>225</v>
      </c>
      <c r="B43" s="62" t="s">
        <v>295</v>
      </c>
      <c r="C43" s="63" t="s">
        <v>3601</v>
      </c>
      <c r="D43" s="64">
        <v>7.631578947368421</v>
      </c>
      <c r="E43" s="65" t="s">
        <v>136</v>
      </c>
      <c r="F43" s="66">
        <v>27.09433962264151</v>
      </c>
      <c r="G43" s="63"/>
      <c r="H43" s="67"/>
      <c r="I43" s="68"/>
      <c r="J43" s="68"/>
      <c r="K43" s="31" t="s">
        <v>65</v>
      </c>
      <c r="L43" s="76">
        <v>43</v>
      </c>
      <c r="M43" s="76"/>
      <c r="N43" s="70"/>
      <c r="O43" s="78" t="s">
        <v>305</v>
      </c>
      <c r="P43" s="78" t="s">
        <v>320</v>
      </c>
      <c r="Q43" s="78" t="s">
        <v>664</v>
      </c>
      <c r="R43" s="78" t="s">
        <v>1263</v>
      </c>
      <c r="S43" s="78"/>
      <c r="T43" s="78"/>
      <c r="U43" s="78"/>
      <c r="V43" s="78"/>
      <c r="W43" s="81" t="s">
        <v>1674</v>
      </c>
      <c r="X43" s="81" t="s">
        <v>1674</v>
      </c>
      <c r="Y43" s="78"/>
      <c r="Z43" s="78"/>
      <c r="AA43" s="81" t="s">
        <v>1674</v>
      </c>
      <c r="AB43" s="79">
        <v>11</v>
      </c>
      <c r="AC43" s="80" t="str">
        <f>REPLACE(INDEX(GroupVertices[Group],MATCH("~"&amp;Edges[[#This Row],[Vertex 1]],GroupVertices[Vertex],0)),1,1,"")</f>
        <v>2</v>
      </c>
      <c r="AD43" s="80" t="str">
        <f>REPLACE(INDEX(GroupVertices[Group],MATCH("~"&amp;Edges[[#This Row],[Vertex 2]],GroupVertices[Vertex],0)),1,1,"")</f>
        <v>2</v>
      </c>
      <c r="AE43" s="105"/>
      <c r="AF43" s="105"/>
      <c r="AG43" s="105"/>
      <c r="AH43" s="105"/>
      <c r="AI43" s="105"/>
      <c r="AJ43" s="105"/>
      <c r="AK43" s="105"/>
      <c r="AL43" s="105"/>
      <c r="AM43" s="105"/>
    </row>
    <row r="44" spans="1:39" ht="15">
      <c r="A44" s="62" t="s">
        <v>225</v>
      </c>
      <c r="B44" s="62" t="s">
        <v>295</v>
      </c>
      <c r="C44" s="63" t="s">
        <v>3601</v>
      </c>
      <c r="D44" s="64">
        <v>7.631578947368421</v>
      </c>
      <c r="E44" s="65" t="s">
        <v>136</v>
      </c>
      <c r="F44" s="66">
        <v>27.09433962264151</v>
      </c>
      <c r="G44" s="63"/>
      <c r="H44" s="67"/>
      <c r="I44" s="68"/>
      <c r="J44" s="68"/>
      <c r="K44" s="31" t="s">
        <v>65</v>
      </c>
      <c r="L44" s="76">
        <v>44</v>
      </c>
      <c r="M44" s="76"/>
      <c r="N44" s="70"/>
      <c r="O44" s="78" t="s">
        <v>305</v>
      </c>
      <c r="P44" s="78" t="s">
        <v>320</v>
      </c>
      <c r="Q44" s="78" t="s">
        <v>665</v>
      </c>
      <c r="R44" s="78" t="s">
        <v>1262</v>
      </c>
      <c r="S44" s="78"/>
      <c r="T44" s="78"/>
      <c r="U44" s="78"/>
      <c r="V44" s="78"/>
      <c r="W44" s="81" t="s">
        <v>1674</v>
      </c>
      <c r="X44" s="81" t="s">
        <v>1674</v>
      </c>
      <c r="Y44" s="78"/>
      <c r="Z44" s="78"/>
      <c r="AA44" s="81" t="s">
        <v>1674</v>
      </c>
      <c r="AB44" s="79">
        <v>11</v>
      </c>
      <c r="AC44" s="80" t="str">
        <f>REPLACE(INDEX(GroupVertices[Group],MATCH("~"&amp;Edges[[#This Row],[Vertex 1]],GroupVertices[Vertex],0)),1,1,"")</f>
        <v>2</v>
      </c>
      <c r="AD44" s="80" t="str">
        <f>REPLACE(INDEX(GroupVertices[Group],MATCH("~"&amp;Edges[[#This Row],[Vertex 2]],GroupVertices[Vertex],0)),1,1,"")</f>
        <v>2</v>
      </c>
      <c r="AE44" s="105"/>
      <c r="AF44" s="105"/>
      <c r="AG44" s="105"/>
      <c r="AH44" s="105"/>
      <c r="AI44" s="105"/>
      <c r="AJ44" s="105"/>
      <c r="AK44" s="105"/>
      <c r="AL44" s="105"/>
      <c r="AM44" s="105"/>
    </row>
    <row r="45" spans="1:39" ht="15">
      <c r="A45" s="62" t="s">
        <v>225</v>
      </c>
      <c r="B45" s="62" t="s">
        <v>295</v>
      </c>
      <c r="C45" s="63" t="s">
        <v>3601</v>
      </c>
      <c r="D45" s="64">
        <v>7.631578947368421</v>
      </c>
      <c r="E45" s="65" t="s">
        <v>136</v>
      </c>
      <c r="F45" s="66">
        <v>27.09433962264151</v>
      </c>
      <c r="G45" s="63"/>
      <c r="H45" s="67"/>
      <c r="I45" s="68"/>
      <c r="J45" s="68"/>
      <c r="K45" s="31" t="s">
        <v>65</v>
      </c>
      <c r="L45" s="76">
        <v>45</v>
      </c>
      <c r="M45" s="76"/>
      <c r="N45" s="70"/>
      <c r="O45" s="78" t="s">
        <v>305</v>
      </c>
      <c r="P45" s="78" t="s">
        <v>320</v>
      </c>
      <c r="Q45" s="78" t="s">
        <v>665</v>
      </c>
      <c r="R45" s="78" t="s">
        <v>1263</v>
      </c>
      <c r="S45" s="78"/>
      <c r="T45" s="78"/>
      <c r="U45" s="78"/>
      <c r="V45" s="78"/>
      <c r="W45" s="81" t="s">
        <v>1674</v>
      </c>
      <c r="X45" s="81" t="s">
        <v>1674</v>
      </c>
      <c r="Y45" s="78"/>
      <c r="Z45" s="78"/>
      <c r="AA45" s="81" t="s">
        <v>1674</v>
      </c>
      <c r="AB45" s="79">
        <v>11</v>
      </c>
      <c r="AC45" s="80" t="str">
        <f>REPLACE(INDEX(GroupVertices[Group],MATCH("~"&amp;Edges[[#This Row],[Vertex 1]],GroupVertices[Vertex],0)),1,1,"")</f>
        <v>2</v>
      </c>
      <c r="AD45" s="80" t="str">
        <f>REPLACE(INDEX(GroupVertices[Group],MATCH("~"&amp;Edges[[#This Row],[Vertex 2]],GroupVertices[Vertex],0)),1,1,"")</f>
        <v>2</v>
      </c>
      <c r="AE45" s="105"/>
      <c r="AF45" s="105"/>
      <c r="AG45" s="105"/>
      <c r="AH45" s="105"/>
      <c r="AI45" s="105"/>
      <c r="AJ45" s="105"/>
      <c r="AK45" s="105"/>
      <c r="AL45" s="105"/>
      <c r="AM45" s="105"/>
    </row>
    <row r="46" spans="1:39" ht="15">
      <c r="A46" s="62" t="s">
        <v>225</v>
      </c>
      <c r="B46" s="62" t="s">
        <v>295</v>
      </c>
      <c r="C46" s="63" t="s">
        <v>3601</v>
      </c>
      <c r="D46" s="64">
        <v>7.631578947368421</v>
      </c>
      <c r="E46" s="65" t="s">
        <v>136</v>
      </c>
      <c r="F46" s="66">
        <v>27.09433962264151</v>
      </c>
      <c r="G46" s="63"/>
      <c r="H46" s="67"/>
      <c r="I46" s="68"/>
      <c r="J46" s="68"/>
      <c r="K46" s="31" t="s">
        <v>65</v>
      </c>
      <c r="L46" s="76">
        <v>46</v>
      </c>
      <c r="M46" s="76"/>
      <c r="N46" s="70"/>
      <c r="O46" s="78" t="s">
        <v>305</v>
      </c>
      <c r="P46" s="78" t="s">
        <v>320</v>
      </c>
      <c r="Q46" s="78" t="s">
        <v>666</v>
      </c>
      <c r="R46" s="78" t="s">
        <v>1262</v>
      </c>
      <c r="S46" s="78"/>
      <c r="T46" s="78"/>
      <c r="U46" s="78"/>
      <c r="V46" s="78"/>
      <c r="W46" s="81" t="s">
        <v>1674</v>
      </c>
      <c r="X46" s="81" t="s">
        <v>1674</v>
      </c>
      <c r="Y46" s="78"/>
      <c r="Z46" s="78"/>
      <c r="AA46" s="81" t="s">
        <v>1674</v>
      </c>
      <c r="AB46" s="79">
        <v>11</v>
      </c>
      <c r="AC46" s="80" t="str">
        <f>REPLACE(INDEX(GroupVertices[Group],MATCH("~"&amp;Edges[[#This Row],[Vertex 1]],GroupVertices[Vertex],0)),1,1,"")</f>
        <v>2</v>
      </c>
      <c r="AD46" s="80" t="str">
        <f>REPLACE(INDEX(GroupVertices[Group],MATCH("~"&amp;Edges[[#This Row],[Vertex 2]],GroupVertices[Vertex],0)),1,1,"")</f>
        <v>2</v>
      </c>
      <c r="AE46" s="105"/>
      <c r="AF46" s="105"/>
      <c r="AG46" s="105"/>
      <c r="AH46" s="105"/>
      <c r="AI46" s="105"/>
      <c r="AJ46" s="105"/>
      <c r="AK46" s="105"/>
      <c r="AL46" s="105"/>
      <c r="AM46" s="105"/>
    </row>
    <row r="47" spans="1:39" ht="15">
      <c r="A47" s="62" t="s">
        <v>225</v>
      </c>
      <c r="B47" s="62" t="s">
        <v>295</v>
      </c>
      <c r="C47" s="63" t="s">
        <v>3601</v>
      </c>
      <c r="D47" s="64">
        <v>7.631578947368421</v>
      </c>
      <c r="E47" s="65" t="s">
        <v>136</v>
      </c>
      <c r="F47" s="66">
        <v>27.09433962264151</v>
      </c>
      <c r="G47" s="63"/>
      <c r="H47" s="67"/>
      <c r="I47" s="68"/>
      <c r="J47" s="68"/>
      <c r="K47" s="31" t="s">
        <v>65</v>
      </c>
      <c r="L47" s="76">
        <v>47</v>
      </c>
      <c r="M47" s="76"/>
      <c r="N47" s="70"/>
      <c r="O47" s="78" t="s">
        <v>305</v>
      </c>
      <c r="P47" s="78" t="s">
        <v>320</v>
      </c>
      <c r="Q47" s="78" t="s">
        <v>666</v>
      </c>
      <c r="R47" s="78" t="s">
        <v>1263</v>
      </c>
      <c r="S47" s="78"/>
      <c r="T47" s="78"/>
      <c r="U47" s="78"/>
      <c r="V47" s="78"/>
      <c r="W47" s="81" t="s">
        <v>1674</v>
      </c>
      <c r="X47" s="81" t="s">
        <v>1674</v>
      </c>
      <c r="Y47" s="78"/>
      <c r="Z47" s="78"/>
      <c r="AA47" s="81" t="s">
        <v>1674</v>
      </c>
      <c r="AB47" s="79">
        <v>11</v>
      </c>
      <c r="AC47" s="80" t="str">
        <f>REPLACE(INDEX(GroupVertices[Group],MATCH("~"&amp;Edges[[#This Row],[Vertex 1]],GroupVertices[Vertex],0)),1,1,"")</f>
        <v>2</v>
      </c>
      <c r="AD47" s="80" t="str">
        <f>REPLACE(INDEX(GroupVertices[Group],MATCH("~"&amp;Edges[[#This Row],[Vertex 2]],GroupVertices[Vertex],0)),1,1,"")</f>
        <v>2</v>
      </c>
      <c r="AE47" s="105"/>
      <c r="AF47" s="105"/>
      <c r="AG47" s="105"/>
      <c r="AH47" s="105"/>
      <c r="AI47" s="105"/>
      <c r="AJ47" s="105"/>
      <c r="AK47" s="105"/>
      <c r="AL47" s="105"/>
      <c r="AM47" s="105"/>
    </row>
    <row r="48" spans="1:39" ht="15">
      <c r="A48" s="62" t="s">
        <v>225</v>
      </c>
      <c r="B48" s="62" t="s">
        <v>295</v>
      </c>
      <c r="C48" s="63" t="s">
        <v>3601</v>
      </c>
      <c r="D48" s="64">
        <v>7.631578947368421</v>
      </c>
      <c r="E48" s="65" t="s">
        <v>136</v>
      </c>
      <c r="F48" s="66">
        <v>27.09433962264151</v>
      </c>
      <c r="G48" s="63"/>
      <c r="H48" s="67"/>
      <c r="I48" s="68"/>
      <c r="J48" s="68"/>
      <c r="K48" s="31" t="s">
        <v>65</v>
      </c>
      <c r="L48" s="76">
        <v>48</v>
      </c>
      <c r="M48" s="76"/>
      <c r="N48" s="70"/>
      <c r="O48" s="78" t="s">
        <v>305</v>
      </c>
      <c r="P48" s="78" t="s">
        <v>320</v>
      </c>
      <c r="Q48" s="78" t="s">
        <v>667</v>
      </c>
      <c r="R48" s="78" t="s">
        <v>1262</v>
      </c>
      <c r="S48" s="78"/>
      <c r="T48" s="78"/>
      <c r="U48" s="78"/>
      <c r="V48" s="78"/>
      <c r="W48" s="81" t="s">
        <v>1674</v>
      </c>
      <c r="X48" s="81" t="s">
        <v>1674</v>
      </c>
      <c r="Y48" s="78"/>
      <c r="Z48" s="78"/>
      <c r="AA48" s="81" t="s">
        <v>1674</v>
      </c>
      <c r="AB48" s="79">
        <v>11</v>
      </c>
      <c r="AC48" s="80" t="str">
        <f>REPLACE(INDEX(GroupVertices[Group],MATCH("~"&amp;Edges[[#This Row],[Vertex 1]],GroupVertices[Vertex],0)),1,1,"")</f>
        <v>2</v>
      </c>
      <c r="AD48" s="80" t="str">
        <f>REPLACE(INDEX(GroupVertices[Group],MATCH("~"&amp;Edges[[#This Row],[Vertex 2]],GroupVertices[Vertex],0)),1,1,"")</f>
        <v>2</v>
      </c>
      <c r="AE48" s="105"/>
      <c r="AF48" s="105"/>
      <c r="AG48" s="105"/>
      <c r="AH48" s="105"/>
      <c r="AI48" s="105"/>
      <c r="AJ48" s="105"/>
      <c r="AK48" s="105"/>
      <c r="AL48" s="105"/>
      <c r="AM48" s="105"/>
    </row>
    <row r="49" spans="1:39" ht="15">
      <c r="A49" s="62" t="s">
        <v>225</v>
      </c>
      <c r="B49" s="62" t="s">
        <v>295</v>
      </c>
      <c r="C49" s="63" t="s">
        <v>3601</v>
      </c>
      <c r="D49" s="64">
        <v>7.631578947368421</v>
      </c>
      <c r="E49" s="65" t="s">
        <v>136</v>
      </c>
      <c r="F49" s="66">
        <v>27.09433962264151</v>
      </c>
      <c r="G49" s="63"/>
      <c r="H49" s="67"/>
      <c r="I49" s="68"/>
      <c r="J49" s="68"/>
      <c r="K49" s="31" t="s">
        <v>65</v>
      </c>
      <c r="L49" s="76">
        <v>49</v>
      </c>
      <c r="M49" s="76"/>
      <c r="N49" s="70"/>
      <c r="O49" s="78" t="s">
        <v>305</v>
      </c>
      <c r="P49" s="78" t="s">
        <v>320</v>
      </c>
      <c r="Q49" s="78" t="s">
        <v>667</v>
      </c>
      <c r="R49" s="78" t="s">
        <v>1263</v>
      </c>
      <c r="S49" s="78"/>
      <c r="T49" s="78"/>
      <c r="U49" s="78"/>
      <c r="V49" s="78"/>
      <c r="W49" s="81" t="s">
        <v>1674</v>
      </c>
      <c r="X49" s="81" t="s">
        <v>1674</v>
      </c>
      <c r="Y49" s="78"/>
      <c r="Z49" s="78"/>
      <c r="AA49" s="81" t="s">
        <v>1674</v>
      </c>
      <c r="AB49" s="79">
        <v>11</v>
      </c>
      <c r="AC49" s="80" t="str">
        <f>REPLACE(INDEX(GroupVertices[Group],MATCH("~"&amp;Edges[[#This Row],[Vertex 1]],GroupVertices[Vertex],0)),1,1,"")</f>
        <v>2</v>
      </c>
      <c r="AD49" s="80" t="str">
        <f>REPLACE(INDEX(GroupVertices[Group],MATCH("~"&amp;Edges[[#This Row],[Vertex 2]],GroupVertices[Vertex],0)),1,1,"")</f>
        <v>2</v>
      </c>
      <c r="AE49" s="105"/>
      <c r="AF49" s="105"/>
      <c r="AG49" s="105"/>
      <c r="AH49" s="105"/>
      <c r="AI49" s="105"/>
      <c r="AJ49" s="105"/>
      <c r="AK49" s="105"/>
      <c r="AL49" s="105"/>
      <c r="AM49" s="105"/>
    </row>
    <row r="50" spans="1:39" ht="15">
      <c r="A50" s="62" t="s">
        <v>225</v>
      </c>
      <c r="B50" s="62" t="s">
        <v>295</v>
      </c>
      <c r="C50" s="63" t="s">
        <v>3601</v>
      </c>
      <c r="D50" s="64">
        <v>7.631578947368421</v>
      </c>
      <c r="E50" s="65" t="s">
        <v>136</v>
      </c>
      <c r="F50" s="66">
        <v>27.09433962264151</v>
      </c>
      <c r="G50" s="63"/>
      <c r="H50" s="67"/>
      <c r="I50" s="68"/>
      <c r="J50" s="68"/>
      <c r="K50" s="31" t="s">
        <v>65</v>
      </c>
      <c r="L50" s="76">
        <v>50</v>
      </c>
      <c r="M50" s="76"/>
      <c r="N50" s="70"/>
      <c r="O50" s="78" t="s">
        <v>305</v>
      </c>
      <c r="P50" s="78" t="s">
        <v>321</v>
      </c>
      <c r="Q50" s="78" t="s">
        <v>668</v>
      </c>
      <c r="R50" s="78" t="s">
        <v>1264</v>
      </c>
      <c r="S50" s="78"/>
      <c r="T50" s="78"/>
      <c r="U50" s="78"/>
      <c r="V50" s="78"/>
      <c r="W50" s="81" t="s">
        <v>1674</v>
      </c>
      <c r="X50" s="81" t="s">
        <v>1674</v>
      </c>
      <c r="Y50" s="78"/>
      <c r="Z50" s="78"/>
      <c r="AA50" s="81" t="s">
        <v>1674</v>
      </c>
      <c r="AB50" s="79">
        <v>11</v>
      </c>
      <c r="AC50" s="80" t="str">
        <f>REPLACE(INDEX(GroupVertices[Group],MATCH("~"&amp;Edges[[#This Row],[Vertex 1]],GroupVertices[Vertex],0)),1,1,"")</f>
        <v>2</v>
      </c>
      <c r="AD50" s="80" t="str">
        <f>REPLACE(INDEX(GroupVertices[Group],MATCH("~"&amp;Edges[[#This Row],[Vertex 2]],GroupVertices[Vertex],0)),1,1,"")</f>
        <v>2</v>
      </c>
      <c r="AE50" s="105"/>
      <c r="AF50" s="105"/>
      <c r="AG50" s="105"/>
      <c r="AH50" s="105"/>
      <c r="AI50" s="105"/>
      <c r="AJ50" s="105"/>
      <c r="AK50" s="105"/>
      <c r="AL50" s="105"/>
      <c r="AM50" s="105"/>
    </row>
    <row r="51" spans="1:39" ht="15">
      <c r="A51" s="62" t="s">
        <v>225</v>
      </c>
      <c r="B51" s="62" t="s">
        <v>295</v>
      </c>
      <c r="C51" s="63" t="s">
        <v>3601</v>
      </c>
      <c r="D51" s="64">
        <v>7.631578947368421</v>
      </c>
      <c r="E51" s="65" t="s">
        <v>136</v>
      </c>
      <c r="F51" s="66">
        <v>27.09433962264151</v>
      </c>
      <c r="G51" s="63"/>
      <c r="H51" s="67"/>
      <c r="I51" s="68"/>
      <c r="J51" s="68"/>
      <c r="K51" s="31" t="s">
        <v>65</v>
      </c>
      <c r="L51" s="76">
        <v>51</v>
      </c>
      <c r="M51" s="76"/>
      <c r="N51" s="70"/>
      <c r="O51" s="78" t="s">
        <v>305</v>
      </c>
      <c r="P51" s="78" t="s">
        <v>320</v>
      </c>
      <c r="Q51" s="78" t="s">
        <v>669</v>
      </c>
      <c r="R51" s="78" t="s">
        <v>1262</v>
      </c>
      <c r="S51" s="78"/>
      <c r="T51" s="78"/>
      <c r="U51" s="78"/>
      <c r="V51" s="78"/>
      <c r="W51" s="81" t="s">
        <v>1674</v>
      </c>
      <c r="X51" s="81" t="s">
        <v>1674</v>
      </c>
      <c r="Y51" s="78"/>
      <c r="Z51" s="78"/>
      <c r="AA51" s="81" t="s">
        <v>1674</v>
      </c>
      <c r="AB51" s="79">
        <v>11</v>
      </c>
      <c r="AC51" s="80" t="str">
        <f>REPLACE(INDEX(GroupVertices[Group],MATCH("~"&amp;Edges[[#This Row],[Vertex 1]],GroupVertices[Vertex],0)),1,1,"")</f>
        <v>2</v>
      </c>
      <c r="AD51" s="80" t="str">
        <f>REPLACE(INDEX(GroupVertices[Group],MATCH("~"&amp;Edges[[#This Row],[Vertex 2]],GroupVertices[Vertex],0)),1,1,"")</f>
        <v>2</v>
      </c>
      <c r="AE51" s="105"/>
      <c r="AF51" s="105"/>
      <c r="AG51" s="105"/>
      <c r="AH51" s="105"/>
      <c r="AI51" s="105"/>
      <c r="AJ51" s="105"/>
      <c r="AK51" s="105"/>
      <c r="AL51" s="105"/>
      <c r="AM51" s="105"/>
    </row>
    <row r="52" spans="1:39" ht="15">
      <c r="A52" s="62" t="s">
        <v>225</v>
      </c>
      <c r="B52" s="62" t="s">
        <v>295</v>
      </c>
      <c r="C52" s="63" t="s">
        <v>3601</v>
      </c>
      <c r="D52" s="64">
        <v>7.631578947368421</v>
      </c>
      <c r="E52" s="65" t="s">
        <v>136</v>
      </c>
      <c r="F52" s="66">
        <v>27.09433962264151</v>
      </c>
      <c r="G52" s="63"/>
      <c r="H52" s="67"/>
      <c r="I52" s="68"/>
      <c r="J52" s="68"/>
      <c r="K52" s="31" t="s">
        <v>65</v>
      </c>
      <c r="L52" s="76">
        <v>52</v>
      </c>
      <c r="M52" s="76"/>
      <c r="N52" s="70"/>
      <c r="O52" s="78" t="s">
        <v>305</v>
      </c>
      <c r="P52" s="78" t="s">
        <v>320</v>
      </c>
      <c r="Q52" s="78" t="s">
        <v>669</v>
      </c>
      <c r="R52" s="78" t="s">
        <v>1263</v>
      </c>
      <c r="S52" s="78"/>
      <c r="T52" s="78"/>
      <c r="U52" s="78"/>
      <c r="V52" s="78"/>
      <c r="W52" s="81" t="s">
        <v>1674</v>
      </c>
      <c r="X52" s="81" t="s">
        <v>1674</v>
      </c>
      <c r="Y52" s="78"/>
      <c r="Z52" s="78"/>
      <c r="AA52" s="81" t="s">
        <v>1674</v>
      </c>
      <c r="AB52" s="79">
        <v>11</v>
      </c>
      <c r="AC52" s="80" t="str">
        <f>REPLACE(INDEX(GroupVertices[Group],MATCH("~"&amp;Edges[[#This Row],[Vertex 1]],GroupVertices[Vertex],0)),1,1,"")</f>
        <v>2</v>
      </c>
      <c r="AD52" s="80" t="str">
        <f>REPLACE(INDEX(GroupVertices[Group],MATCH("~"&amp;Edges[[#This Row],[Vertex 2]],GroupVertices[Vertex],0)),1,1,"")</f>
        <v>2</v>
      </c>
      <c r="AE52" s="105"/>
      <c r="AF52" s="105"/>
      <c r="AG52" s="105"/>
      <c r="AH52" s="105"/>
      <c r="AI52" s="105"/>
      <c r="AJ52" s="105"/>
      <c r="AK52" s="105"/>
      <c r="AL52" s="105"/>
      <c r="AM52" s="105"/>
    </row>
    <row r="53" spans="1:39" ht="15">
      <c r="A53" s="62" t="s">
        <v>225</v>
      </c>
      <c r="B53" s="62" t="s">
        <v>249</v>
      </c>
      <c r="C53" s="63" t="s">
        <v>3600</v>
      </c>
      <c r="D53" s="64">
        <v>7.894736842105264</v>
      </c>
      <c r="E53" s="65" t="s">
        <v>136</v>
      </c>
      <c r="F53" s="66">
        <v>26.60377358490566</v>
      </c>
      <c r="G53" s="63"/>
      <c r="H53" s="67"/>
      <c r="I53" s="68"/>
      <c r="J53" s="68"/>
      <c r="K53" s="31" t="s">
        <v>65</v>
      </c>
      <c r="L53" s="76">
        <v>53</v>
      </c>
      <c r="M53" s="76"/>
      <c r="N53" s="70"/>
      <c r="O53" s="78" t="s">
        <v>305</v>
      </c>
      <c r="P53" s="78" t="s">
        <v>315</v>
      </c>
      <c r="Q53" s="78" t="s">
        <v>670</v>
      </c>
      <c r="R53" s="78" t="s">
        <v>1251</v>
      </c>
      <c r="S53" s="78"/>
      <c r="T53" s="78"/>
      <c r="U53" s="78"/>
      <c r="V53" s="78"/>
      <c r="W53" s="81" t="s">
        <v>1674</v>
      </c>
      <c r="X53" s="81" t="s">
        <v>1674</v>
      </c>
      <c r="Y53" s="78"/>
      <c r="Z53" s="78"/>
      <c r="AA53" s="81" t="s">
        <v>1674</v>
      </c>
      <c r="AB53" s="79">
        <v>12</v>
      </c>
      <c r="AC53" s="80" t="str">
        <f>REPLACE(INDEX(GroupVertices[Group],MATCH("~"&amp;Edges[[#This Row],[Vertex 1]],GroupVertices[Vertex],0)),1,1,"")</f>
        <v>2</v>
      </c>
      <c r="AD53" s="80" t="str">
        <f>REPLACE(INDEX(GroupVertices[Group],MATCH("~"&amp;Edges[[#This Row],[Vertex 2]],GroupVertices[Vertex],0)),1,1,"")</f>
        <v>2</v>
      </c>
      <c r="AE53" s="105"/>
      <c r="AF53" s="105"/>
      <c r="AG53" s="105"/>
      <c r="AH53" s="105"/>
      <c r="AI53" s="105"/>
      <c r="AJ53" s="105"/>
      <c r="AK53" s="105"/>
      <c r="AL53" s="105"/>
      <c r="AM53" s="105"/>
    </row>
    <row r="54" spans="1:39" ht="15">
      <c r="A54" s="62" t="s">
        <v>225</v>
      </c>
      <c r="B54" s="62" t="s">
        <v>249</v>
      </c>
      <c r="C54" s="63" t="s">
        <v>3600</v>
      </c>
      <c r="D54" s="64">
        <v>7.894736842105264</v>
      </c>
      <c r="E54" s="65" t="s">
        <v>136</v>
      </c>
      <c r="F54" s="66">
        <v>26.60377358490566</v>
      </c>
      <c r="G54" s="63"/>
      <c r="H54" s="67"/>
      <c r="I54" s="68"/>
      <c r="J54" s="68"/>
      <c r="K54" s="31" t="s">
        <v>65</v>
      </c>
      <c r="L54" s="76">
        <v>54</v>
      </c>
      <c r="M54" s="76"/>
      <c r="N54" s="70"/>
      <c r="O54" s="78" t="s">
        <v>305</v>
      </c>
      <c r="P54" s="78" t="s">
        <v>315</v>
      </c>
      <c r="Q54" s="78" t="s">
        <v>670</v>
      </c>
      <c r="R54" s="78" t="s">
        <v>1252</v>
      </c>
      <c r="S54" s="78"/>
      <c r="T54" s="78"/>
      <c r="U54" s="78"/>
      <c r="V54" s="78"/>
      <c r="W54" s="81" t="s">
        <v>1674</v>
      </c>
      <c r="X54" s="81" t="s">
        <v>1674</v>
      </c>
      <c r="Y54" s="78"/>
      <c r="Z54" s="78"/>
      <c r="AA54" s="81" t="s">
        <v>1674</v>
      </c>
      <c r="AB54" s="79">
        <v>12</v>
      </c>
      <c r="AC54" s="80" t="str">
        <f>REPLACE(INDEX(GroupVertices[Group],MATCH("~"&amp;Edges[[#This Row],[Vertex 1]],GroupVertices[Vertex],0)),1,1,"")</f>
        <v>2</v>
      </c>
      <c r="AD54" s="80" t="str">
        <f>REPLACE(INDEX(GroupVertices[Group],MATCH("~"&amp;Edges[[#This Row],[Vertex 2]],GroupVertices[Vertex],0)),1,1,"")</f>
        <v>2</v>
      </c>
      <c r="AE54" s="105"/>
      <c r="AF54" s="105"/>
      <c r="AG54" s="105"/>
      <c r="AH54" s="105"/>
      <c r="AI54" s="105"/>
      <c r="AJ54" s="105"/>
      <c r="AK54" s="105"/>
      <c r="AL54" s="105"/>
      <c r="AM54" s="105"/>
    </row>
    <row r="55" spans="1:39" ht="15">
      <c r="A55" s="62" t="s">
        <v>225</v>
      </c>
      <c r="B55" s="62" t="s">
        <v>249</v>
      </c>
      <c r="C55" s="63" t="s">
        <v>3600</v>
      </c>
      <c r="D55" s="64">
        <v>7.894736842105264</v>
      </c>
      <c r="E55" s="65" t="s">
        <v>136</v>
      </c>
      <c r="F55" s="66">
        <v>26.60377358490566</v>
      </c>
      <c r="G55" s="63"/>
      <c r="H55" s="67"/>
      <c r="I55" s="68"/>
      <c r="J55" s="68"/>
      <c r="K55" s="31" t="s">
        <v>65</v>
      </c>
      <c r="L55" s="76">
        <v>55</v>
      </c>
      <c r="M55" s="76"/>
      <c r="N55" s="70"/>
      <c r="O55" s="78" t="s">
        <v>305</v>
      </c>
      <c r="P55" s="78" t="s">
        <v>315</v>
      </c>
      <c r="Q55" s="78" t="s">
        <v>670</v>
      </c>
      <c r="R55" s="78" t="s">
        <v>1253</v>
      </c>
      <c r="S55" s="78"/>
      <c r="T55" s="78"/>
      <c r="U55" s="78"/>
      <c r="V55" s="78"/>
      <c r="W55" s="81" t="s">
        <v>1674</v>
      </c>
      <c r="X55" s="81" t="s">
        <v>1674</v>
      </c>
      <c r="Y55" s="78"/>
      <c r="Z55" s="78"/>
      <c r="AA55" s="81" t="s">
        <v>1674</v>
      </c>
      <c r="AB55" s="79">
        <v>12</v>
      </c>
      <c r="AC55" s="80" t="str">
        <f>REPLACE(INDEX(GroupVertices[Group],MATCH("~"&amp;Edges[[#This Row],[Vertex 1]],GroupVertices[Vertex],0)),1,1,"")</f>
        <v>2</v>
      </c>
      <c r="AD55" s="80" t="str">
        <f>REPLACE(INDEX(GroupVertices[Group],MATCH("~"&amp;Edges[[#This Row],[Vertex 2]],GroupVertices[Vertex],0)),1,1,"")</f>
        <v>2</v>
      </c>
      <c r="AE55" s="105"/>
      <c r="AF55" s="105"/>
      <c r="AG55" s="105"/>
      <c r="AH55" s="105"/>
      <c r="AI55" s="105"/>
      <c r="AJ55" s="105"/>
      <c r="AK55" s="105"/>
      <c r="AL55" s="105"/>
      <c r="AM55" s="105"/>
    </row>
    <row r="56" spans="1:39" ht="15">
      <c r="A56" s="62" t="s">
        <v>225</v>
      </c>
      <c r="B56" s="62" t="s">
        <v>249</v>
      </c>
      <c r="C56" s="63" t="s">
        <v>3600</v>
      </c>
      <c r="D56" s="64">
        <v>7.894736842105264</v>
      </c>
      <c r="E56" s="65" t="s">
        <v>136</v>
      </c>
      <c r="F56" s="66">
        <v>26.60377358490566</v>
      </c>
      <c r="G56" s="63"/>
      <c r="H56" s="67"/>
      <c r="I56" s="68"/>
      <c r="J56" s="68"/>
      <c r="K56" s="31" t="s">
        <v>65</v>
      </c>
      <c r="L56" s="76">
        <v>56</v>
      </c>
      <c r="M56" s="76"/>
      <c r="N56" s="70"/>
      <c r="O56" s="78" t="s">
        <v>305</v>
      </c>
      <c r="P56" s="78" t="s">
        <v>315</v>
      </c>
      <c r="Q56" s="78" t="s">
        <v>670</v>
      </c>
      <c r="R56" s="78" t="s">
        <v>1254</v>
      </c>
      <c r="S56" s="78"/>
      <c r="T56" s="78"/>
      <c r="U56" s="78"/>
      <c r="V56" s="78"/>
      <c r="W56" s="81" t="s">
        <v>1674</v>
      </c>
      <c r="X56" s="81" t="s">
        <v>1674</v>
      </c>
      <c r="Y56" s="78"/>
      <c r="Z56" s="78"/>
      <c r="AA56" s="81" t="s">
        <v>1674</v>
      </c>
      <c r="AB56" s="79">
        <v>12</v>
      </c>
      <c r="AC56" s="80" t="str">
        <f>REPLACE(INDEX(GroupVertices[Group],MATCH("~"&amp;Edges[[#This Row],[Vertex 1]],GroupVertices[Vertex],0)),1,1,"")</f>
        <v>2</v>
      </c>
      <c r="AD56" s="80" t="str">
        <f>REPLACE(INDEX(GroupVertices[Group],MATCH("~"&amp;Edges[[#This Row],[Vertex 2]],GroupVertices[Vertex],0)),1,1,"")</f>
        <v>2</v>
      </c>
      <c r="AE56" s="105"/>
      <c r="AF56" s="105"/>
      <c r="AG56" s="105"/>
      <c r="AH56" s="105"/>
      <c r="AI56" s="105"/>
      <c r="AJ56" s="105"/>
      <c r="AK56" s="105"/>
      <c r="AL56" s="105"/>
      <c r="AM56" s="105"/>
    </row>
    <row r="57" spans="1:39" ht="15">
      <c r="A57" s="62" t="s">
        <v>225</v>
      </c>
      <c r="B57" s="62" t="s">
        <v>249</v>
      </c>
      <c r="C57" s="63" t="s">
        <v>3600</v>
      </c>
      <c r="D57" s="64">
        <v>7.894736842105264</v>
      </c>
      <c r="E57" s="65" t="s">
        <v>136</v>
      </c>
      <c r="F57" s="66">
        <v>26.60377358490566</v>
      </c>
      <c r="G57" s="63"/>
      <c r="H57" s="67"/>
      <c r="I57" s="68"/>
      <c r="J57" s="68"/>
      <c r="K57" s="31" t="s">
        <v>65</v>
      </c>
      <c r="L57" s="76">
        <v>57</v>
      </c>
      <c r="M57" s="76"/>
      <c r="N57" s="70"/>
      <c r="O57" s="78" t="s">
        <v>305</v>
      </c>
      <c r="P57" s="78" t="s">
        <v>315</v>
      </c>
      <c r="Q57" s="78" t="s">
        <v>670</v>
      </c>
      <c r="R57" s="78" t="s">
        <v>1255</v>
      </c>
      <c r="S57" s="78"/>
      <c r="T57" s="78"/>
      <c r="U57" s="78"/>
      <c r="V57" s="78"/>
      <c r="W57" s="81" t="s">
        <v>1674</v>
      </c>
      <c r="X57" s="81" t="s">
        <v>1674</v>
      </c>
      <c r="Y57" s="78"/>
      <c r="Z57" s="78"/>
      <c r="AA57" s="81" t="s">
        <v>1674</v>
      </c>
      <c r="AB57" s="79">
        <v>12</v>
      </c>
      <c r="AC57" s="80" t="str">
        <f>REPLACE(INDEX(GroupVertices[Group],MATCH("~"&amp;Edges[[#This Row],[Vertex 1]],GroupVertices[Vertex],0)),1,1,"")</f>
        <v>2</v>
      </c>
      <c r="AD57" s="80" t="str">
        <f>REPLACE(INDEX(GroupVertices[Group],MATCH("~"&amp;Edges[[#This Row],[Vertex 2]],GroupVertices[Vertex],0)),1,1,"")</f>
        <v>2</v>
      </c>
      <c r="AE57" s="105"/>
      <c r="AF57" s="105"/>
      <c r="AG57" s="105"/>
      <c r="AH57" s="105"/>
      <c r="AI57" s="105"/>
      <c r="AJ57" s="105"/>
      <c r="AK57" s="105"/>
      <c r="AL57" s="105"/>
      <c r="AM57" s="105"/>
    </row>
    <row r="58" spans="1:39" ht="15">
      <c r="A58" s="62" t="s">
        <v>225</v>
      </c>
      <c r="B58" s="62" t="s">
        <v>249</v>
      </c>
      <c r="C58" s="63" t="s">
        <v>3600</v>
      </c>
      <c r="D58" s="64">
        <v>7.894736842105264</v>
      </c>
      <c r="E58" s="65" t="s">
        <v>136</v>
      </c>
      <c r="F58" s="66">
        <v>26.60377358490566</v>
      </c>
      <c r="G58" s="63"/>
      <c r="H58" s="67"/>
      <c r="I58" s="68"/>
      <c r="J58" s="68"/>
      <c r="K58" s="31" t="s">
        <v>65</v>
      </c>
      <c r="L58" s="76">
        <v>58</v>
      </c>
      <c r="M58" s="76"/>
      <c r="N58" s="70"/>
      <c r="O58" s="78" t="s">
        <v>305</v>
      </c>
      <c r="P58" s="78" t="s">
        <v>315</v>
      </c>
      <c r="Q58" s="78" t="s">
        <v>670</v>
      </c>
      <c r="R58" s="78" t="s">
        <v>1256</v>
      </c>
      <c r="S58" s="78"/>
      <c r="T58" s="78"/>
      <c r="U58" s="78"/>
      <c r="V58" s="78"/>
      <c r="W58" s="81" t="s">
        <v>1674</v>
      </c>
      <c r="X58" s="81" t="s">
        <v>1674</v>
      </c>
      <c r="Y58" s="78"/>
      <c r="Z58" s="78"/>
      <c r="AA58" s="81" t="s">
        <v>1674</v>
      </c>
      <c r="AB58" s="79">
        <v>12</v>
      </c>
      <c r="AC58" s="80" t="str">
        <f>REPLACE(INDEX(GroupVertices[Group],MATCH("~"&amp;Edges[[#This Row],[Vertex 1]],GroupVertices[Vertex],0)),1,1,"")</f>
        <v>2</v>
      </c>
      <c r="AD58" s="80" t="str">
        <f>REPLACE(INDEX(GroupVertices[Group],MATCH("~"&amp;Edges[[#This Row],[Vertex 2]],GroupVertices[Vertex],0)),1,1,"")</f>
        <v>2</v>
      </c>
      <c r="AE58" s="105"/>
      <c r="AF58" s="105"/>
      <c r="AG58" s="105"/>
      <c r="AH58" s="105"/>
      <c r="AI58" s="105"/>
      <c r="AJ58" s="105"/>
      <c r="AK58" s="105"/>
      <c r="AL58" s="105"/>
      <c r="AM58" s="105"/>
    </row>
    <row r="59" spans="1:39" ht="15">
      <c r="A59" s="62" t="s">
        <v>225</v>
      </c>
      <c r="B59" s="62" t="s">
        <v>249</v>
      </c>
      <c r="C59" s="63" t="s">
        <v>3600</v>
      </c>
      <c r="D59" s="64">
        <v>7.894736842105264</v>
      </c>
      <c r="E59" s="65" t="s">
        <v>136</v>
      </c>
      <c r="F59" s="66">
        <v>26.60377358490566</v>
      </c>
      <c r="G59" s="63"/>
      <c r="H59" s="67"/>
      <c r="I59" s="68"/>
      <c r="J59" s="68"/>
      <c r="K59" s="31" t="s">
        <v>65</v>
      </c>
      <c r="L59" s="76">
        <v>59</v>
      </c>
      <c r="M59" s="76"/>
      <c r="N59" s="70"/>
      <c r="O59" s="78" t="s">
        <v>305</v>
      </c>
      <c r="P59" s="78" t="s">
        <v>315</v>
      </c>
      <c r="Q59" s="78" t="s">
        <v>671</v>
      </c>
      <c r="R59" s="78" t="s">
        <v>1251</v>
      </c>
      <c r="S59" s="78"/>
      <c r="T59" s="78"/>
      <c r="U59" s="78"/>
      <c r="V59" s="78"/>
      <c r="W59" s="81" t="s">
        <v>1674</v>
      </c>
      <c r="X59" s="81" t="s">
        <v>1674</v>
      </c>
      <c r="Y59" s="78"/>
      <c r="Z59" s="78"/>
      <c r="AA59" s="81" t="s">
        <v>1674</v>
      </c>
      <c r="AB59" s="79">
        <v>12</v>
      </c>
      <c r="AC59" s="80" t="str">
        <f>REPLACE(INDEX(GroupVertices[Group],MATCH("~"&amp;Edges[[#This Row],[Vertex 1]],GroupVertices[Vertex],0)),1,1,"")</f>
        <v>2</v>
      </c>
      <c r="AD59" s="80" t="str">
        <f>REPLACE(INDEX(GroupVertices[Group],MATCH("~"&amp;Edges[[#This Row],[Vertex 2]],GroupVertices[Vertex],0)),1,1,"")</f>
        <v>2</v>
      </c>
      <c r="AE59" s="105"/>
      <c r="AF59" s="105"/>
      <c r="AG59" s="105"/>
      <c r="AH59" s="105"/>
      <c r="AI59" s="105"/>
      <c r="AJ59" s="105"/>
      <c r="AK59" s="105"/>
      <c r="AL59" s="105"/>
      <c r="AM59" s="105"/>
    </row>
    <row r="60" spans="1:39" ht="15">
      <c r="A60" s="62" t="s">
        <v>225</v>
      </c>
      <c r="B60" s="62" t="s">
        <v>249</v>
      </c>
      <c r="C60" s="63" t="s">
        <v>3600</v>
      </c>
      <c r="D60" s="64">
        <v>7.894736842105264</v>
      </c>
      <c r="E60" s="65" t="s">
        <v>136</v>
      </c>
      <c r="F60" s="66">
        <v>26.60377358490566</v>
      </c>
      <c r="G60" s="63"/>
      <c r="H60" s="67"/>
      <c r="I60" s="68"/>
      <c r="J60" s="68"/>
      <c r="K60" s="31" t="s">
        <v>65</v>
      </c>
      <c r="L60" s="76">
        <v>60</v>
      </c>
      <c r="M60" s="76"/>
      <c r="N60" s="70"/>
      <c r="O60" s="78" t="s">
        <v>305</v>
      </c>
      <c r="P60" s="78" t="s">
        <v>315</v>
      </c>
      <c r="Q60" s="78" t="s">
        <v>671</v>
      </c>
      <c r="R60" s="78" t="s">
        <v>1252</v>
      </c>
      <c r="S60" s="78"/>
      <c r="T60" s="78"/>
      <c r="U60" s="78"/>
      <c r="V60" s="78"/>
      <c r="W60" s="81" t="s">
        <v>1674</v>
      </c>
      <c r="X60" s="81" t="s">
        <v>1674</v>
      </c>
      <c r="Y60" s="78"/>
      <c r="Z60" s="78"/>
      <c r="AA60" s="81" t="s">
        <v>1674</v>
      </c>
      <c r="AB60" s="79">
        <v>12</v>
      </c>
      <c r="AC60" s="80" t="str">
        <f>REPLACE(INDEX(GroupVertices[Group],MATCH("~"&amp;Edges[[#This Row],[Vertex 1]],GroupVertices[Vertex],0)),1,1,"")</f>
        <v>2</v>
      </c>
      <c r="AD60" s="80" t="str">
        <f>REPLACE(INDEX(GroupVertices[Group],MATCH("~"&amp;Edges[[#This Row],[Vertex 2]],GroupVertices[Vertex],0)),1,1,"")</f>
        <v>2</v>
      </c>
      <c r="AE60" s="105"/>
      <c r="AF60" s="105"/>
      <c r="AG60" s="105"/>
      <c r="AH60" s="105"/>
      <c r="AI60" s="105"/>
      <c r="AJ60" s="105"/>
      <c r="AK60" s="105"/>
      <c r="AL60" s="105"/>
      <c r="AM60" s="105"/>
    </row>
    <row r="61" spans="1:39" ht="15">
      <c r="A61" s="62" t="s">
        <v>225</v>
      </c>
      <c r="B61" s="62" t="s">
        <v>249</v>
      </c>
      <c r="C61" s="63" t="s">
        <v>3600</v>
      </c>
      <c r="D61" s="64">
        <v>7.894736842105264</v>
      </c>
      <c r="E61" s="65" t="s">
        <v>136</v>
      </c>
      <c r="F61" s="66">
        <v>26.60377358490566</v>
      </c>
      <c r="G61" s="63"/>
      <c r="H61" s="67"/>
      <c r="I61" s="68"/>
      <c r="J61" s="68"/>
      <c r="K61" s="31" t="s">
        <v>65</v>
      </c>
      <c r="L61" s="76">
        <v>61</v>
      </c>
      <c r="M61" s="76"/>
      <c r="N61" s="70"/>
      <c r="O61" s="78" t="s">
        <v>305</v>
      </c>
      <c r="P61" s="78" t="s">
        <v>315</v>
      </c>
      <c r="Q61" s="78" t="s">
        <v>671</v>
      </c>
      <c r="R61" s="78" t="s">
        <v>1253</v>
      </c>
      <c r="S61" s="78"/>
      <c r="T61" s="78"/>
      <c r="U61" s="78"/>
      <c r="V61" s="78"/>
      <c r="W61" s="81" t="s">
        <v>1674</v>
      </c>
      <c r="X61" s="81" t="s">
        <v>1674</v>
      </c>
      <c r="Y61" s="78"/>
      <c r="Z61" s="78"/>
      <c r="AA61" s="81" t="s">
        <v>1674</v>
      </c>
      <c r="AB61" s="79">
        <v>12</v>
      </c>
      <c r="AC61" s="80" t="str">
        <f>REPLACE(INDEX(GroupVertices[Group],MATCH("~"&amp;Edges[[#This Row],[Vertex 1]],GroupVertices[Vertex],0)),1,1,"")</f>
        <v>2</v>
      </c>
      <c r="AD61" s="80" t="str">
        <f>REPLACE(INDEX(GroupVertices[Group],MATCH("~"&amp;Edges[[#This Row],[Vertex 2]],GroupVertices[Vertex],0)),1,1,"")</f>
        <v>2</v>
      </c>
      <c r="AE61" s="105"/>
      <c r="AF61" s="105"/>
      <c r="AG61" s="105"/>
      <c r="AH61" s="105"/>
      <c r="AI61" s="105"/>
      <c r="AJ61" s="105"/>
      <c r="AK61" s="105"/>
      <c r="AL61" s="105"/>
      <c r="AM61" s="105"/>
    </row>
    <row r="62" spans="1:39" ht="15">
      <c r="A62" s="62" t="s">
        <v>225</v>
      </c>
      <c r="B62" s="62" t="s">
        <v>249</v>
      </c>
      <c r="C62" s="63" t="s">
        <v>3600</v>
      </c>
      <c r="D62" s="64">
        <v>7.894736842105264</v>
      </c>
      <c r="E62" s="65" t="s">
        <v>136</v>
      </c>
      <c r="F62" s="66">
        <v>26.60377358490566</v>
      </c>
      <c r="G62" s="63"/>
      <c r="H62" s="67"/>
      <c r="I62" s="68"/>
      <c r="J62" s="68"/>
      <c r="K62" s="31" t="s">
        <v>65</v>
      </c>
      <c r="L62" s="76">
        <v>62</v>
      </c>
      <c r="M62" s="76"/>
      <c r="N62" s="70"/>
      <c r="O62" s="78" t="s">
        <v>305</v>
      </c>
      <c r="P62" s="78" t="s">
        <v>315</v>
      </c>
      <c r="Q62" s="78" t="s">
        <v>671</v>
      </c>
      <c r="R62" s="78" t="s">
        <v>1254</v>
      </c>
      <c r="S62" s="78"/>
      <c r="T62" s="78"/>
      <c r="U62" s="78"/>
      <c r="V62" s="78"/>
      <c r="W62" s="81" t="s">
        <v>1674</v>
      </c>
      <c r="X62" s="81" t="s">
        <v>1674</v>
      </c>
      <c r="Y62" s="78"/>
      <c r="Z62" s="78"/>
      <c r="AA62" s="81" t="s">
        <v>1674</v>
      </c>
      <c r="AB62" s="79">
        <v>12</v>
      </c>
      <c r="AC62" s="80" t="str">
        <f>REPLACE(INDEX(GroupVertices[Group],MATCH("~"&amp;Edges[[#This Row],[Vertex 1]],GroupVertices[Vertex],0)),1,1,"")</f>
        <v>2</v>
      </c>
      <c r="AD62" s="80" t="str">
        <f>REPLACE(INDEX(GroupVertices[Group],MATCH("~"&amp;Edges[[#This Row],[Vertex 2]],GroupVertices[Vertex],0)),1,1,"")</f>
        <v>2</v>
      </c>
      <c r="AE62" s="105"/>
      <c r="AF62" s="105"/>
      <c r="AG62" s="105"/>
      <c r="AH62" s="105"/>
      <c r="AI62" s="105"/>
      <c r="AJ62" s="105"/>
      <c r="AK62" s="105"/>
      <c r="AL62" s="105"/>
      <c r="AM62" s="105"/>
    </row>
    <row r="63" spans="1:39" ht="15">
      <c r="A63" s="62" t="s">
        <v>225</v>
      </c>
      <c r="B63" s="62" t="s">
        <v>249</v>
      </c>
      <c r="C63" s="63" t="s">
        <v>3600</v>
      </c>
      <c r="D63" s="64">
        <v>7.894736842105264</v>
      </c>
      <c r="E63" s="65" t="s">
        <v>136</v>
      </c>
      <c r="F63" s="66">
        <v>26.60377358490566</v>
      </c>
      <c r="G63" s="63"/>
      <c r="H63" s="67"/>
      <c r="I63" s="68"/>
      <c r="J63" s="68"/>
      <c r="K63" s="31" t="s">
        <v>65</v>
      </c>
      <c r="L63" s="76">
        <v>63</v>
      </c>
      <c r="M63" s="76"/>
      <c r="N63" s="70"/>
      <c r="O63" s="78" t="s">
        <v>305</v>
      </c>
      <c r="P63" s="78" t="s">
        <v>315</v>
      </c>
      <c r="Q63" s="78" t="s">
        <v>671</v>
      </c>
      <c r="R63" s="78" t="s">
        <v>1255</v>
      </c>
      <c r="S63" s="78"/>
      <c r="T63" s="78"/>
      <c r="U63" s="78"/>
      <c r="V63" s="78"/>
      <c r="W63" s="81" t="s">
        <v>1674</v>
      </c>
      <c r="X63" s="81" t="s">
        <v>1674</v>
      </c>
      <c r="Y63" s="78"/>
      <c r="Z63" s="78"/>
      <c r="AA63" s="81" t="s">
        <v>1674</v>
      </c>
      <c r="AB63" s="79">
        <v>12</v>
      </c>
      <c r="AC63" s="80" t="str">
        <f>REPLACE(INDEX(GroupVertices[Group],MATCH("~"&amp;Edges[[#This Row],[Vertex 1]],GroupVertices[Vertex],0)),1,1,"")</f>
        <v>2</v>
      </c>
      <c r="AD63" s="80" t="str">
        <f>REPLACE(INDEX(GroupVertices[Group],MATCH("~"&amp;Edges[[#This Row],[Vertex 2]],GroupVertices[Vertex],0)),1,1,"")</f>
        <v>2</v>
      </c>
      <c r="AE63" s="105"/>
      <c r="AF63" s="105"/>
      <c r="AG63" s="105"/>
      <c r="AH63" s="105"/>
      <c r="AI63" s="105"/>
      <c r="AJ63" s="105"/>
      <c r="AK63" s="105"/>
      <c r="AL63" s="105"/>
      <c r="AM63" s="105"/>
    </row>
    <row r="64" spans="1:39" ht="15">
      <c r="A64" s="62" t="s">
        <v>225</v>
      </c>
      <c r="B64" s="62" t="s">
        <v>249</v>
      </c>
      <c r="C64" s="63" t="s">
        <v>3600</v>
      </c>
      <c r="D64" s="64">
        <v>7.894736842105264</v>
      </c>
      <c r="E64" s="65" t="s">
        <v>136</v>
      </c>
      <c r="F64" s="66">
        <v>26.60377358490566</v>
      </c>
      <c r="G64" s="63"/>
      <c r="H64" s="67"/>
      <c r="I64" s="68"/>
      <c r="J64" s="68"/>
      <c r="K64" s="31" t="s">
        <v>65</v>
      </c>
      <c r="L64" s="76">
        <v>64</v>
      </c>
      <c r="M64" s="76"/>
      <c r="N64" s="70"/>
      <c r="O64" s="78" t="s">
        <v>305</v>
      </c>
      <c r="P64" s="78" t="s">
        <v>315</v>
      </c>
      <c r="Q64" s="78" t="s">
        <v>671</v>
      </c>
      <c r="R64" s="78" t="s">
        <v>1256</v>
      </c>
      <c r="S64" s="78"/>
      <c r="T64" s="78"/>
      <c r="U64" s="78"/>
      <c r="V64" s="78"/>
      <c r="W64" s="81" t="s">
        <v>1674</v>
      </c>
      <c r="X64" s="81" t="s">
        <v>1674</v>
      </c>
      <c r="Y64" s="78"/>
      <c r="Z64" s="78"/>
      <c r="AA64" s="81" t="s">
        <v>1674</v>
      </c>
      <c r="AB64" s="79">
        <v>12</v>
      </c>
      <c r="AC64" s="80" t="str">
        <f>REPLACE(INDEX(GroupVertices[Group],MATCH("~"&amp;Edges[[#This Row],[Vertex 1]],GroupVertices[Vertex],0)),1,1,"")</f>
        <v>2</v>
      </c>
      <c r="AD64" s="80" t="str">
        <f>REPLACE(INDEX(GroupVertices[Group],MATCH("~"&amp;Edges[[#This Row],[Vertex 2]],GroupVertices[Vertex],0)),1,1,"")</f>
        <v>2</v>
      </c>
      <c r="AE64" s="105"/>
      <c r="AF64" s="105"/>
      <c r="AG64" s="105"/>
      <c r="AH64" s="105"/>
      <c r="AI64" s="105"/>
      <c r="AJ64" s="105"/>
      <c r="AK64" s="105"/>
      <c r="AL64" s="105"/>
      <c r="AM64" s="105"/>
    </row>
    <row r="65" spans="1:39" ht="15">
      <c r="A65" s="62" t="s">
        <v>225</v>
      </c>
      <c r="B65" s="62" t="s">
        <v>240</v>
      </c>
      <c r="C65" s="63" t="s">
        <v>3598</v>
      </c>
      <c r="D65" s="64">
        <v>5.2631578947368425</v>
      </c>
      <c r="E65" s="65" t="s">
        <v>136</v>
      </c>
      <c r="F65" s="66">
        <v>31.50943396226415</v>
      </c>
      <c r="G65" s="63"/>
      <c r="H65" s="67"/>
      <c r="I65" s="68"/>
      <c r="J65" s="68"/>
      <c r="K65" s="31" t="s">
        <v>65</v>
      </c>
      <c r="L65" s="76">
        <v>65</v>
      </c>
      <c r="M65" s="76"/>
      <c r="N65" s="70"/>
      <c r="O65" s="78" t="s">
        <v>305</v>
      </c>
      <c r="P65" s="78" t="s">
        <v>322</v>
      </c>
      <c r="Q65" s="78" t="s">
        <v>672</v>
      </c>
      <c r="R65" s="78" t="s">
        <v>1265</v>
      </c>
      <c r="S65" s="78"/>
      <c r="T65" s="78"/>
      <c r="U65" s="78"/>
      <c r="V65" s="78"/>
      <c r="W65" s="81" t="s">
        <v>1674</v>
      </c>
      <c r="X65" s="81" t="s">
        <v>1674</v>
      </c>
      <c r="Y65" s="78"/>
      <c r="Z65" s="78"/>
      <c r="AA65" s="81" t="s">
        <v>1674</v>
      </c>
      <c r="AB65" s="79">
        <v>2</v>
      </c>
      <c r="AC65" s="80" t="str">
        <f>REPLACE(INDEX(GroupVertices[Group],MATCH("~"&amp;Edges[[#This Row],[Vertex 1]],GroupVertices[Vertex],0)),1,1,"")</f>
        <v>2</v>
      </c>
      <c r="AD65" s="80" t="str">
        <f>REPLACE(INDEX(GroupVertices[Group],MATCH("~"&amp;Edges[[#This Row],[Vertex 2]],GroupVertices[Vertex],0)),1,1,"")</f>
        <v>2</v>
      </c>
      <c r="AE65" s="105"/>
      <c r="AF65" s="105"/>
      <c r="AG65" s="105"/>
      <c r="AH65" s="105"/>
      <c r="AI65" s="105"/>
      <c r="AJ65" s="105"/>
      <c r="AK65" s="105"/>
      <c r="AL65" s="105"/>
      <c r="AM65" s="105"/>
    </row>
    <row r="66" spans="1:39" ht="15">
      <c r="A66" s="62" t="s">
        <v>225</v>
      </c>
      <c r="B66" s="62" t="s">
        <v>240</v>
      </c>
      <c r="C66" s="63" t="s">
        <v>3598</v>
      </c>
      <c r="D66" s="64">
        <v>5.2631578947368425</v>
      </c>
      <c r="E66" s="65" t="s">
        <v>136</v>
      </c>
      <c r="F66" s="66">
        <v>31.50943396226415</v>
      </c>
      <c r="G66" s="63"/>
      <c r="H66" s="67"/>
      <c r="I66" s="68"/>
      <c r="J66" s="68"/>
      <c r="K66" s="31" t="s">
        <v>65</v>
      </c>
      <c r="L66" s="76">
        <v>66</v>
      </c>
      <c r="M66" s="76"/>
      <c r="N66" s="70"/>
      <c r="O66" s="78" t="s">
        <v>305</v>
      </c>
      <c r="P66" s="78" t="s">
        <v>322</v>
      </c>
      <c r="Q66" s="78" t="s">
        <v>673</v>
      </c>
      <c r="R66" s="78" t="s">
        <v>1265</v>
      </c>
      <c r="S66" s="78"/>
      <c r="T66" s="78"/>
      <c r="U66" s="78"/>
      <c r="V66" s="78"/>
      <c r="W66" s="81" t="s">
        <v>1674</v>
      </c>
      <c r="X66" s="81" t="s">
        <v>1674</v>
      </c>
      <c r="Y66" s="78"/>
      <c r="Z66" s="78"/>
      <c r="AA66" s="81" t="s">
        <v>1674</v>
      </c>
      <c r="AB66" s="79">
        <v>2</v>
      </c>
      <c r="AC66" s="80" t="str">
        <f>REPLACE(INDEX(GroupVertices[Group],MATCH("~"&amp;Edges[[#This Row],[Vertex 1]],GroupVertices[Vertex],0)),1,1,"")</f>
        <v>2</v>
      </c>
      <c r="AD66" s="80" t="str">
        <f>REPLACE(INDEX(GroupVertices[Group],MATCH("~"&amp;Edges[[#This Row],[Vertex 2]],GroupVertices[Vertex],0)),1,1,"")</f>
        <v>2</v>
      </c>
      <c r="AE66" s="105"/>
      <c r="AF66" s="105"/>
      <c r="AG66" s="105"/>
      <c r="AH66" s="105"/>
      <c r="AI66" s="105"/>
      <c r="AJ66" s="105"/>
      <c r="AK66" s="105"/>
      <c r="AL66" s="105"/>
      <c r="AM66" s="105"/>
    </row>
    <row r="67" spans="1:39" ht="15">
      <c r="A67" s="62" t="s">
        <v>225</v>
      </c>
      <c r="B67" s="62" t="s">
        <v>241</v>
      </c>
      <c r="C67" s="63" t="s">
        <v>3599</v>
      </c>
      <c r="D67" s="64">
        <v>6.052631578947368</v>
      </c>
      <c r="E67" s="65" t="s">
        <v>136</v>
      </c>
      <c r="F67" s="66">
        <v>30.037735849056602</v>
      </c>
      <c r="G67" s="63"/>
      <c r="H67" s="67"/>
      <c r="I67" s="68"/>
      <c r="J67" s="68"/>
      <c r="K67" s="31" t="s">
        <v>65</v>
      </c>
      <c r="L67" s="76">
        <v>67</v>
      </c>
      <c r="M67" s="76"/>
      <c r="N67" s="70"/>
      <c r="O67" s="78" t="s">
        <v>305</v>
      </c>
      <c r="P67" s="78" t="s">
        <v>320</v>
      </c>
      <c r="Q67" s="78" t="s">
        <v>664</v>
      </c>
      <c r="R67" s="78" t="s">
        <v>810</v>
      </c>
      <c r="S67" s="78"/>
      <c r="T67" s="78"/>
      <c r="U67" s="78"/>
      <c r="V67" s="78"/>
      <c r="W67" s="81" t="s">
        <v>1674</v>
      </c>
      <c r="X67" s="81" t="s">
        <v>1674</v>
      </c>
      <c r="Y67" s="78"/>
      <c r="Z67" s="78"/>
      <c r="AA67" s="81" t="s">
        <v>1674</v>
      </c>
      <c r="AB67" s="79">
        <v>5</v>
      </c>
      <c r="AC67" s="80" t="str">
        <f>REPLACE(INDEX(GroupVertices[Group],MATCH("~"&amp;Edges[[#This Row],[Vertex 1]],GroupVertices[Vertex],0)),1,1,"")</f>
        <v>2</v>
      </c>
      <c r="AD67" s="80" t="str">
        <f>REPLACE(INDEX(GroupVertices[Group],MATCH("~"&amp;Edges[[#This Row],[Vertex 2]],GroupVertices[Vertex],0)),1,1,"")</f>
        <v>2</v>
      </c>
      <c r="AE67" s="105"/>
      <c r="AF67" s="105"/>
      <c r="AG67" s="105"/>
      <c r="AH67" s="105"/>
      <c r="AI67" s="105"/>
      <c r="AJ67" s="105"/>
      <c r="AK67" s="105"/>
      <c r="AL67" s="105"/>
      <c r="AM67" s="105"/>
    </row>
    <row r="68" spans="1:39" ht="15">
      <c r="A68" s="62" t="s">
        <v>225</v>
      </c>
      <c r="B68" s="62" t="s">
        <v>241</v>
      </c>
      <c r="C68" s="63" t="s">
        <v>3599</v>
      </c>
      <c r="D68" s="64">
        <v>6.052631578947368</v>
      </c>
      <c r="E68" s="65" t="s">
        <v>136</v>
      </c>
      <c r="F68" s="66">
        <v>30.037735849056602</v>
      </c>
      <c r="G68" s="63"/>
      <c r="H68" s="67"/>
      <c r="I68" s="68"/>
      <c r="J68" s="68"/>
      <c r="K68" s="31" t="s">
        <v>65</v>
      </c>
      <c r="L68" s="76">
        <v>68</v>
      </c>
      <c r="M68" s="76"/>
      <c r="N68" s="70"/>
      <c r="O68" s="78" t="s">
        <v>305</v>
      </c>
      <c r="P68" s="78" t="s">
        <v>320</v>
      </c>
      <c r="Q68" s="78" t="s">
        <v>665</v>
      </c>
      <c r="R68" s="78" t="s">
        <v>810</v>
      </c>
      <c r="S68" s="78"/>
      <c r="T68" s="78"/>
      <c r="U68" s="78"/>
      <c r="V68" s="78"/>
      <c r="W68" s="81" t="s">
        <v>1674</v>
      </c>
      <c r="X68" s="81" t="s">
        <v>1674</v>
      </c>
      <c r="Y68" s="78"/>
      <c r="Z68" s="78"/>
      <c r="AA68" s="81" t="s">
        <v>1674</v>
      </c>
      <c r="AB68" s="79">
        <v>5</v>
      </c>
      <c r="AC68" s="80" t="str">
        <f>REPLACE(INDEX(GroupVertices[Group],MATCH("~"&amp;Edges[[#This Row],[Vertex 1]],GroupVertices[Vertex],0)),1,1,"")</f>
        <v>2</v>
      </c>
      <c r="AD68" s="80" t="str">
        <f>REPLACE(INDEX(GroupVertices[Group],MATCH("~"&amp;Edges[[#This Row],[Vertex 2]],GroupVertices[Vertex],0)),1,1,"")</f>
        <v>2</v>
      </c>
      <c r="AE68" s="105"/>
      <c r="AF68" s="105"/>
      <c r="AG68" s="105"/>
      <c r="AH68" s="105"/>
      <c r="AI68" s="105"/>
      <c r="AJ68" s="105"/>
      <c r="AK68" s="105"/>
      <c r="AL68" s="105"/>
      <c r="AM68" s="105"/>
    </row>
    <row r="69" spans="1:39" ht="15">
      <c r="A69" s="62" t="s">
        <v>225</v>
      </c>
      <c r="B69" s="62" t="s">
        <v>241</v>
      </c>
      <c r="C69" s="63" t="s">
        <v>3599</v>
      </c>
      <c r="D69" s="64">
        <v>6.052631578947368</v>
      </c>
      <c r="E69" s="65" t="s">
        <v>136</v>
      </c>
      <c r="F69" s="66">
        <v>30.037735849056602</v>
      </c>
      <c r="G69" s="63"/>
      <c r="H69" s="67"/>
      <c r="I69" s="68"/>
      <c r="J69" s="68"/>
      <c r="K69" s="31" t="s">
        <v>65</v>
      </c>
      <c r="L69" s="76">
        <v>69</v>
      </c>
      <c r="M69" s="76"/>
      <c r="N69" s="70"/>
      <c r="O69" s="78" t="s">
        <v>305</v>
      </c>
      <c r="P69" s="78" t="s">
        <v>320</v>
      </c>
      <c r="Q69" s="78" t="s">
        <v>666</v>
      </c>
      <c r="R69" s="78" t="s">
        <v>810</v>
      </c>
      <c r="S69" s="78"/>
      <c r="T69" s="78"/>
      <c r="U69" s="78"/>
      <c r="V69" s="78"/>
      <c r="W69" s="81" t="s">
        <v>1674</v>
      </c>
      <c r="X69" s="81" t="s">
        <v>1674</v>
      </c>
      <c r="Y69" s="78"/>
      <c r="Z69" s="78"/>
      <c r="AA69" s="81" t="s">
        <v>1674</v>
      </c>
      <c r="AB69" s="79">
        <v>5</v>
      </c>
      <c r="AC69" s="80" t="str">
        <f>REPLACE(INDEX(GroupVertices[Group],MATCH("~"&amp;Edges[[#This Row],[Vertex 1]],GroupVertices[Vertex],0)),1,1,"")</f>
        <v>2</v>
      </c>
      <c r="AD69" s="80" t="str">
        <f>REPLACE(INDEX(GroupVertices[Group],MATCH("~"&amp;Edges[[#This Row],[Vertex 2]],GroupVertices[Vertex],0)),1,1,"")</f>
        <v>2</v>
      </c>
      <c r="AE69" s="105"/>
      <c r="AF69" s="105"/>
      <c r="AG69" s="105"/>
      <c r="AH69" s="105"/>
      <c r="AI69" s="105"/>
      <c r="AJ69" s="105"/>
      <c r="AK69" s="105"/>
      <c r="AL69" s="105"/>
      <c r="AM69" s="105"/>
    </row>
    <row r="70" spans="1:39" ht="15">
      <c r="A70" s="62" t="s">
        <v>225</v>
      </c>
      <c r="B70" s="62" t="s">
        <v>241</v>
      </c>
      <c r="C70" s="63" t="s">
        <v>3599</v>
      </c>
      <c r="D70" s="64">
        <v>6.052631578947368</v>
      </c>
      <c r="E70" s="65" t="s">
        <v>136</v>
      </c>
      <c r="F70" s="66">
        <v>30.037735849056602</v>
      </c>
      <c r="G70" s="63"/>
      <c r="H70" s="67"/>
      <c r="I70" s="68"/>
      <c r="J70" s="68"/>
      <c r="K70" s="31" t="s">
        <v>65</v>
      </c>
      <c r="L70" s="76">
        <v>70</v>
      </c>
      <c r="M70" s="76"/>
      <c r="N70" s="70"/>
      <c r="O70" s="78" t="s">
        <v>305</v>
      </c>
      <c r="P70" s="78" t="s">
        <v>320</v>
      </c>
      <c r="Q70" s="78" t="s">
        <v>667</v>
      </c>
      <c r="R70" s="78" t="s">
        <v>810</v>
      </c>
      <c r="S70" s="78"/>
      <c r="T70" s="78"/>
      <c r="U70" s="78"/>
      <c r="V70" s="78"/>
      <c r="W70" s="81" t="s">
        <v>1674</v>
      </c>
      <c r="X70" s="81" t="s">
        <v>1674</v>
      </c>
      <c r="Y70" s="78"/>
      <c r="Z70" s="78"/>
      <c r="AA70" s="81" t="s">
        <v>1674</v>
      </c>
      <c r="AB70" s="79">
        <v>5</v>
      </c>
      <c r="AC70" s="80" t="str">
        <f>REPLACE(INDEX(GroupVertices[Group],MATCH("~"&amp;Edges[[#This Row],[Vertex 1]],GroupVertices[Vertex],0)),1,1,"")</f>
        <v>2</v>
      </c>
      <c r="AD70" s="80" t="str">
        <f>REPLACE(INDEX(GroupVertices[Group],MATCH("~"&amp;Edges[[#This Row],[Vertex 2]],GroupVertices[Vertex],0)),1,1,"")</f>
        <v>2</v>
      </c>
      <c r="AE70" s="105"/>
      <c r="AF70" s="105"/>
      <c r="AG70" s="105"/>
      <c r="AH70" s="105"/>
      <c r="AI70" s="105"/>
      <c r="AJ70" s="105"/>
      <c r="AK70" s="105"/>
      <c r="AL70" s="105"/>
      <c r="AM70" s="105"/>
    </row>
    <row r="71" spans="1:39" ht="15">
      <c r="A71" s="62" t="s">
        <v>225</v>
      </c>
      <c r="B71" s="62" t="s">
        <v>241</v>
      </c>
      <c r="C71" s="63" t="s">
        <v>3599</v>
      </c>
      <c r="D71" s="64">
        <v>6.052631578947368</v>
      </c>
      <c r="E71" s="65" t="s">
        <v>136</v>
      </c>
      <c r="F71" s="66">
        <v>30.037735849056602</v>
      </c>
      <c r="G71" s="63"/>
      <c r="H71" s="67"/>
      <c r="I71" s="68"/>
      <c r="J71" s="68"/>
      <c r="K71" s="31" t="s">
        <v>65</v>
      </c>
      <c r="L71" s="76">
        <v>71</v>
      </c>
      <c r="M71" s="76"/>
      <c r="N71" s="70"/>
      <c r="O71" s="78" t="s">
        <v>305</v>
      </c>
      <c r="P71" s="78" t="s">
        <v>320</v>
      </c>
      <c r="Q71" s="78" t="s">
        <v>669</v>
      </c>
      <c r="R71" s="78" t="s">
        <v>810</v>
      </c>
      <c r="S71" s="78"/>
      <c r="T71" s="78"/>
      <c r="U71" s="78"/>
      <c r="V71" s="78"/>
      <c r="W71" s="81" t="s">
        <v>1674</v>
      </c>
      <c r="X71" s="81" t="s">
        <v>1674</v>
      </c>
      <c r="Y71" s="78"/>
      <c r="Z71" s="78"/>
      <c r="AA71" s="81" t="s">
        <v>1674</v>
      </c>
      <c r="AB71" s="79">
        <v>5</v>
      </c>
      <c r="AC71" s="80" t="str">
        <f>REPLACE(INDEX(GroupVertices[Group],MATCH("~"&amp;Edges[[#This Row],[Vertex 1]],GroupVertices[Vertex],0)),1,1,"")</f>
        <v>2</v>
      </c>
      <c r="AD71" s="80" t="str">
        <f>REPLACE(INDEX(GroupVertices[Group],MATCH("~"&amp;Edges[[#This Row],[Vertex 2]],GroupVertices[Vertex],0)),1,1,"")</f>
        <v>2</v>
      </c>
      <c r="AE71" s="105"/>
      <c r="AF71" s="105"/>
      <c r="AG71" s="105"/>
      <c r="AH71" s="105"/>
      <c r="AI71" s="105"/>
      <c r="AJ71" s="105"/>
      <c r="AK71" s="105"/>
      <c r="AL71" s="105"/>
      <c r="AM71" s="105"/>
    </row>
    <row r="72" spans="1:39" ht="15">
      <c r="A72" s="62" t="s">
        <v>229</v>
      </c>
      <c r="B72" s="62" t="s">
        <v>225</v>
      </c>
      <c r="C72" s="63" t="s">
        <v>3598</v>
      </c>
      <c r="D72" s="64">
        <v>5</v>
      </c>
      <c r="E72" s="65" t="s">
        <v>132</v>
      </c>
      <c r="F72" s="66">
        <v>32</v>
      </c>
      <c r="G72" s="63"/>
      <c r="H72" s="67"/>
      <c r="I72" s="68"/>
      <c r="J72" s="68"/>
      <c r="K72" s="31" t="s">
        <v>65</v>
      </c>
      <c r="L72" s="76">
        <v>72</v>
      </c>
      <c r="M72" s="76"/>
      <c r="N72" s="70"/>
      <c r="O72" s="78" t="s">
        <v>305</v>
      </c>
      <c r="P72" s="78" t="s">
        <v>323</v>
      </c>
      <c r="Q72" s="78" t="s">
        <v>674</v>
      </c>
      <c r="R72" s="78" t="s">
        <v>1266</v>
      </c>
      <c r="S72" s="78"/>
      <c r="T72" s="78"/>
      <c r="U72" s="78"/>
      <c r="V72" s="78"/>
      <c r="W72" s="81" t="s">
        <v>1674</v>
      </c>
      <c r="X72" s="81" t="s">
        <v>1674</v>
      </c>
      <c r="Y72" s="78"/>
      <c r="Z72" s="78"/>
      <c r="AA72" s="81" t="s">
        <v>1674</v>
      </c>
      <c r="AB72" s="79">
        <v>1</v>
      </c>
      <c r="AC72" s="80" t="str">
        <f>REPLACE(INDEX(GroupVertices[Group],MATCH("~"&amp;Edges[[#This Row],[Vertex 1]],GroupVertices[Vertex],0)),1,1,"")</f>
        <v>2</v>
      </c>
      <c r="AD72" s="80" t="str">
        <f>REPLACE(INDEX(GroupVertices[Group],MATCH("~"&amp;Edges[[#This Row],[Vertex 2]],GroupVertices[Vertex],0)),1,1,"")</f>
        <v>2</v>
      </c>
      <c r="AE72" s="105"/>
      <c r="AF72" s="105"/>
      <c r="AG72" s="105"/>
      <c r="AH72" s="105"/>
      <c r="AI72" s="105"/>
      <c r="AJ72" s="105"/>
      <c r="AK72" s="105"/>
      <c r="AL72" s="105"/>
      <c r="AM72" s="105"/>
    </row>
    <row r="73" spans="1:39" ht="15">
      <c r="A73" s="62" t="s">
        <v>230</v>
      </c>
      <c r="B73" s="62" t="s">
        <v>253</v>
      </c>
      <c r="C73" s="63" t="s">
        <v>3598</v>
      </c>
      <c r="D73" s="64">
        <v>5</v>
      </c>
      <c r="E73" s="65" t="s">
        <v>132</v>
      </c>
      <c r="F73" s="66">
        <v>32</v>
      </c>
      <c r="G73" s="63"/>
      <c r="H73" s="67"/>
      <c r="I73" s="68"/>
      <c r="J73" s="68"/>
      <c r="K73" s="31" t="s">
        <v>65</v>
      </c>
      <c r="L73" s="76">
        <v>73</v>
      </c>
      <c r="M73" s="76"/>
      <c r="N73" s="70"/>
      <c r="O73" s="78" t="s">
        <v>305</v>
      </c>
      <c r="P73" s="78" t="s">
        <v>324</v>
      </c>
      <c r="Q73" s="78" t="s">
        <v>675</v>
      </c>
      <c r="R73" s="78" t="s">
        <v>1267</v>
      </c>
      <c r="S73" s="78"/>
      <c r="T73" s="78"/>
      <c r="U73" s="78"/>
      <c r="V73" s="78"/>
      <c r="W73" s="81" t="s">
        <v>1674</v>
      </c>
      <c r="X73" s="81" t="s">
        <v>1674</v>
      </c>
      <c r="Y73" s="78"/>
      <c r="Z73" s="78"/>
      <c r="AA73" s="81" t="s">
        <v>1674</v>
      </c>
      <c r="AB73" s="79">
        <v>1</v>
      </c>
      <c r="AC73" s="80" t="str">
        <f>REPLACE(INDEX(GroupVertices[Group],MATCH("~"&amp;Edges[[#This Row],[Vertex 1]],GroupVertices[Vertex],0)),1,1,"")</f>
        <v>3</v>
      </c>
      <c r="AD73" s="80" t="str">
        <f>REPLACE(INDEX(GroupVertices[Group],MATCH("~"&amp;Edges[[#This Row],[Vertex 2]],GroupVertices[Vertex],0)),1,1,"")</f>
        <v>1</v>
      </c>
      <c r="AE73" s="105"/>
      <c r="AF73" s="105"/>
      <c r="AG73" s="105"/>
      <c r="AH73" s="105"/>
      <c r="AI73" s="105"/>
      <c r="AJ73" s="105"/>
      <c r="AK73" s="105"/>
      <c r="AL73" s="105"/>
      <c r="AM73" s="105"/>
    </row>
    <row r="74" spans="1:39" ht="15">
      <c r="A74" s="62" t="s">
        <v>230</v>
      </c>
      <c r="B74" s="62" t="s">
        <v>246</v>
      </c>
      <c r="C74" s="63" t="s">
        <v>3598</v>
      </c>
      <c r="D74" s="64">
        <v>5</v>
      </c>
      <c r="E74" s="65" t="s">
        <v>132</v>
      </c>
      <c r="F74" s="66">
        <v>32</v>
      </c>
      <c r="G74" s="63"/>
      <c r="H74" s="67"/>
      <c r="I74" s="68"/>
      <c r="J74" s="68"/>
      <c r="K74" s="31" t="s">
        <v>65</v>
      </c>
      <c r="L74" s="76">
        <v>74</v>
      </c>
      <c r="M74" s="76"/>
      <c r="N74" s="70"/>
      <c r="O74" s="78" t="s">
        <v>305</v>
      </c>
      <c r="P74" s="78" t="s">
        <v>325</v>
      </c>
      <c r="Q74" s="78" t="s">
        <v>676</v>
      </c>
      <c r="R74" s="78" t="s">
        <v>1268</v>
      </c>
      <c r="S74" s="78"/>
      <c r="T74" s="78"/>
      <c r="U74" s="78"/>
      <c r="V74" s="78"/>
      <c r="W74" s="81" t="s">
        <v>1674</v>
      </c>
      <c r="X74" s="81" t="s">
        <v>1674</v>
      </c>
      <c r="Y74" s="78"/>
      <c r="Z74" s="78"/>
      <c r="AA74" s="81" t="s">
        <v>1674</v>
      </c>
      <c r="AB74" s="79">
        <v>1</v>
      </c>
      <c r="AC74" s="80" t="str">
        <f>REPLACE(INDEX(GroupVertices[Group],MATCH("~"&amp;Edges[[#This Row],[Vertex 1]],GroupVertices[Vertex],0)),1,1,"")</f>
        <v>3</v>
      </c>
      <c r="AD74" s="80" t="str">
        <f>REPLACE(INDEX(GroupVertices[Group],MATCH("~"&amp;Edges[[#This Row],[Vertex 2]],GroupVertices[Vertex],0)),1,1,"")</f>
        <v>3</v>
      </c>
      <c r="AE74" s="105"/>
      <c r="AF74" s="105"/>
      <c r="AG74" s="105"/>
      <c r="AH74" s="105"/>
      <c r="AI74" s="105"/>
      <c r="AJ74" s="105"/>
      <c r="AK74" s="105"/>
      <c r="AL74" s="105"/>
      <c r="AM74" s="105"/>
    </row>
    <row r="75" spans="1:39" ht="15">
      <c r="A75" s="62" t="s">
        <v>231</v>
      </c>
      <c r="B75" s="62" t="s">
        <v>296</v>
      </c>
      <c r="C75" s="63" t="s">
        <v>3598</v>
      </c>
      <c r="D75" s="64">
        <v>5</v>
      </c>
      <c r="E75" s="65" t="s">
        <v>132</v>
      </c>
      <c r="F75" s="66">
        <v>32</v>
      </c>
      <c r="G75" s="63"/>
      <c r="H75" s="67"/>
      <c r="I75" s="68"/>
      <c r="J75" s="68"/>
      <c r="K75" s="31" t="s">
        <v>65</v>
      </c>
      <c r="L75" s="76">
        <v>75</v>
      </c>
      <c r="M75" s="76"/>
      <c r="N75" s="70"/>
      <c r="O75" s="78" t="s">
        <v>305</v>
      </c>
      <c r="P75" s="78" t="s">
        <v>326</v>
      </c>
      <c r="Q75" s="78" t="s">
        <v>677</v>
      </c>
      <c r="R75" s="78" t="s">
        <v>1269</v>
      </c>
      <c r="S75" s="78"/>
      <c r="T75" s="78"/>
      <c r="U75" s="78"/>
      <c r="V75" s="78"/>
      <c r="W75" s="81" t="s">
        <v>1674</v>
      </c>
      <c r="X75" s="81" t="s">
        <v>1674</v>
      </c>
      <c r="Y75" s="78"/>
      <c r="Z75" s="78"/>
      <c r="AA75" s="81" t="s">
        <v>1674</v>
      </c>
      <c r="AB75" s="79">
        <v>1</v>
      </c>
      <c r="AC75" s="80" t="str">
        <f>REPLACE(INDEX(GroupVertices[Group],MATCH("~"&amp;Edges[[#This Row],[Vertex 1]],GroupVertices[Vertex],0)),1,1,"")</f>
        <v>7</v>
      </c>
      <c r="AD75" s="80" t="str">
        <f>REPLACE(INDEX(GroupVertices[Group],MATCH("~"&amp;Edges[[#This Row],[Vertex 2]],GroupVertices[Vertex],0)),1,1,"")</f>
        <v>7</v>
      </c>
      <c r="AE75" s="105"/>
      <c r="AF75" s="105"/>
      <c r="AG75" s="105"/>
      <c r="AH75" s="105"/>
      <c r="AI75" s="105"/>
      <c r="AJ75" s="105"/>
      <c r="AK75" s="105"/>
      <c r="AL75" s="105"/>
      <c r="AM75" s="105"/>
    </row>
    <row r="76" spans="1:39" ht="15">
      <c r="A76" s="62" t="s">
        <v>232</v>
      </c>
      <c r="B76" s="62" t="s">
        <v>296</v>
      </c>
      <c r="C76" s="63" t="s">
        <v>3598</v>
      </c>
      <c r="D76" s="64">
        <v>5</v>
      </c>
      <c r="E76" s="65" t="s">
        <v>132</v>
      </c>
      <c r="F76" s="66">
        <v>32</v>
      </c>
      <c r="G76" s="63"/>
      <c r="H76" s="67"/>
      <c r="I76" s="68"/>
      <c r="J76" s="68"/>
      <c r="K76" s="31" t="s">
        <v>65</v>
      </c>
      <c r="L76" s="76">
        <v>76</v>
      </c>
      <c r="M76" s="76"/>
      <c r="N76" s="70"/>
      <c r="O76" s="78" t="s">
        <v>305</v>
      </c>
      <c r="P76" s="78" t="s">
        <v>327</v>
      </c>
      <c r="Q76" s="78" t="s">
        <v>678</v>
      </c>
      <c r="R76" s="78" t="s">
        <v>1270</v>
      </c>
      <c r="S76" s="78"/>
      <c r="T76" s="78"/>
      <c r="U76" s="78"/>
      <c r="V76" s="78"/>
      <c r="W76" s="81" t="s">
        <v>1674</v>
      </c>
      <c r="X76" s="81" t="s">
        <v>1674</v>
      </c>
      <c r="Y76" s="78"/>
      <c r="Z76" s="78"/>
      <c r="AA76" s="81" t="s">
        <v>1674</v>
      </c>
      <c r="AB76" s="79">
        <v>1</v>
      </c>
      <c r="AC76" s="80" t="str">
        <f>REPLACE(INDEX(GroupVertices[Group],MATCH("~"&amp;Edges[[#This Row],[Vertex 1]],GroupVertices[Vertex],0)),1,1,"")</f>
        <v>7</v>
      </c>
      <c r="AD76" s="80" t="str">
        <f>REPLACE(INDEX(GroupVertices[Group],MATCH("~"&amp;Edges[[#This Row],[Vertex 2]],GroupVertices[Vertex],0)),1,1,"")</f>
        <v>7</v>
      </c>
      <c r="AE76" s="105"/>
      <c r="AF76" s="105"/>
      <c r="AG76" s="105"/>
      <c r="AH76" s="105"/>
      <c r="AI76" s="105"/>
      <c r="AJ76" s="105"/>
      <c r="AK76" s="105"/>
      <c r="AL76" s="105"/>
      <c r="AM76" s="105"/>
    </row>
    <row r="77" spans="1:39" ht="15">
      <c r="A77" s="62" t="s">
        <v>232</v>
      </c>
      <c r="B77" s="62" t="s">
        <v>231</v>
      </c>
      <c r="C77" s="63" t="s">
        <v>3601</v>
      </c>
      <c r="D77" s="64">
        <v>7.631578947368421</v>
      </c>
      <c r="E77" s="65" t="s">
        <v>136</v>
      </c>
      <c r="F77" s="66">
        <v>27.09433962264151</v>
      </c>
      <c r="G77" s="63"/>
      <c r="H77" s="67"/>
      <c r="I77" s="68"/>
      <c r="J77" s="68"/>
      <c r="K77" s="31" t="s">
        <v>65</v>
      </c>
      <c r="L77" s="76">
        <v>77</v>
      </c>
      <c r="M77" s="76"/>
      <c r="N77" s="70"/>
      <c r="O77" s="78" t="s">
        <v>305</v>
      </c>
      <c r="P77" s="78" t="s">
        <v>328</v>
      </c>
      <c r="Q77" s="78" t="s">
        <v>679</v>
      </c>
      <c r="R77" s="78" t="s">
        <v>1271</v>
      </c>
      <c r="S77" s="78"/>
      <c r="T77" s="78"/>
      <c r="U77" s="78"/>
      <c r="V77" s="78"/>
      <c r="W77" s="81" t="s">
        <v>1674</v>
      </c>
      <c r="X77" s="81" t="s">
        <v>1674</v>
      </c>
      <c r="Y77" s="78"/>
      <c r="Z77" s="78"/>
      <c r="AA77" s="81" t="s">
        <v>1674</v>
      </c>
      <c r="AB77" s="79">
        <v>11</v>
      </c>
      <c r="AC77" s="80" t="str">
        <f>REPLACE(INDEX(GroupVertices[Group],MATCH("~"&amp;Edges[[#This Row],[Vertex 1]],GroupVertices[Vertex],0)),1,1,"")</f>
        <v>7</v>
      </c>
      <c r="AD77" s="80" t="str">
        <f>REPLACE(INDEX(GroupVertices[Group],MATCH("~"&amp;Edges[[#This Row],[Vertex 2]],GroupVertices[Vertex],0)),1,1,"")</f>
        <v>7</v>
      </c>
      <c r="AE77" s="105"/>
      <c r="AF77" s="105"/>
      <c r="AG77" s="105"/>
      <c r="AH77" s="105"/>
      <c r="AI77" s="105"/>
      <c r="AJ77" s="105"/>
      <c r="AK77" s="105"/>
      <c r="AL77" s="105"/>
      <c r="AM77" s="105"/>
    </row>
    <row r="78" spans="1:39" ht="15">
      <c r="A78" s="62" t="s">
        <v>232</v>
      </c>
      <c r="B78" s="62" t="s">
        <v>231</v>
      </c>
      <c r="C78" s="63" t="s">
        <v>3601</v>
      </c>
      <c r="D78" s="64">
        <v>7.631578947368421</v>
      </c>
      <c r="E78" s="65" t="s">
        <v>136</v>
      </c>
      <c r="F78" s="66">
        <v>27.09433962264151</v>
      </c>
      <c r="G78" s="63"/>
      <c r="H78" s="67"/>
      <c r="I78" s="68"/>
      <c r="J78" s="68"/>
      <c r="K78" s="31" t="s">
        <v>65</v>
      </c>
      <c r="L78" s="76">
        <v>78</v>
      </c>
      <c r="M78" s="76"/>
      <c r="N78" s="70"/>
      <c r="O78" s="78" t="s">
        <v>305</v>
      </c>
      <c r="P78" s="78" t="s">
        <v>328</v>
      </c>
      <c r="Q78" s="78" t="s">
        <v>679</v>
      </c>
      <c r="R78" s="78" t="s">
        <v>1272</v>
      </c>
      <c r="S78" s="78"/>
      <c r="T78" s="78"/>
      <c r="U78" s="78"/>
      <c r="V78" s="78"/>
      <c r="W78" s="81" t="s">
        <v>1674</v>
      </c>
      <c r="X78" s="81" t="s">
        <v>1674</v>
      </c>
      <c r="Y78" s="78"/>
      <c r="Z78" s="78"/>
      <c r="AA78" s="81" t="s">
        <v>1674</v>
      </c>
      <c r="AB78" s="79">
        <v>11</v>
      </c>
      <c r="AC78" s="80" t="str">
        <f>REPLACE(INDEX(GroupVertices[Group],MATCH("~"&amp;Edges[[#This Row],[Vertex 1]],GroupVertices[Vertex],0)),1,1,"")</f>
        <v>7</v>
      </c>
      <c r="AD78" s="80" t="str">
        <f>REPLACE(INDEX(GroupVertices[Group],MATCH("~"&amp;Edges[[#This Row],[Vertex 2]],GroupVertices[Vertex],0)),1,1,"")</f>
        <v>7</v>
      </c>
      <c r="AE78" s="105"/>
      <c r="AF78" s="105"/>
      <c r="AG78" s="105"/>
      <c r="AH78" s="105"/>
      <c r="AI78" s="105"/>
      <c r="AJ78" s="105"/>
      <c r="AK78" s="105"/>
      <c r="AL78" s="105"/>
      <c r="AM78" s="105"/>
    </row>
    <row r="79" spans="1:39" ht="15">
      <c r="A79" s="62" t="s">
        <v>232</v>
      </c>
      <c r="B79" s="62" t="s">
        <v>231</v>
      </c>
      <c r="C79" s="63" t="s">
        <v>3601</v>
      </c>
      <c r="D79" s="64">
        <v>7.631578947368421</v>
      </c>
      <c r="E79" s="65" t="s">
        <v>136</v>
      </c>
      <c r="F79" s="66">
        <v>27.09433962264151</v>
      </c>
      <c r="G79" s="63"/>
      <c r="H79" s="67"/>
      <c r="I79" s="68"/>
      <c r="J79" s="68"/>
      <c r="K79" s="31" t="s">
        <v>65</v>
      </c>
      <c r="L79" s="76">
        <v>79</v>
      </c>
      <c r="M79" s="76"/>
      <c r="N79" s="70"/>
      <c r="O79" s="78" t="s">
        <v>305</v>
      </c>
      <c r="P79" s="78" t="s">
        <v>328</v>
      </c>
      <c r="Q79" s="78" t="s">
        <v>679</v>
      </c>
      <c r="R79" s="78" t="s">
        <v>1273</v>
      </c>
      <c r="S79" s="78"/>
      <c r="T79" s="78"/>
      <c r="U79" s="78"/>
      <c r="V79" s="78"/>
      <c r="W79" s="81" t="s">
        <v>1674</v>
      </c>
      <c r="X79" s="81" t="s">
        <v>1674</v>
      </c>
      <c r="Y79" s="78"/>
      <c r="Z79" s="78"/>
      <c r="AA79" s="81" t="s">
        <v>1674</v>
      </c>
      <c r="AB79" s="79">
        <v>11</v>
      </c>
      <c r="AC79" s="80" t="str">
        <f>REPLACE(INDEX(GroupVertices[Group],MATCH("~"&amp;Edges[[#This Row],[Vertex 1]],GroupVertices[Vertex],0)),1,1,"")</f>
        <v>7</v>
      </c>
      <c r="AD79" s="80" t="str">
        <f>REPLACE(INDEX(GroupVertices[Group],MATCH("~"&amp;Edges[[#This Row],[Vertex 2]],GroupVertices[Vertex],0)),1,1,"")</f>
        <v>7</v>
      </c>
      <c r="AE79" s="105"/>
      <c r="AF79" s="105"/>
      <c r="AG79" s="105"/>
      <c r="AH79" s="105"/>
      <c r="AI79" s="105"/>
      <c r="AJ79" s="105"/>
      <c r="AK79" s="105"/>
      <c r="AL79" s="105"/>
      <c r="AM79" s="105"/>
    </row>
    <row r="80" spans="1:39" ht="15">
      <c r="A80" s="62" t="s">
        <v>232</v>
      </c>
      <c r="B80" s="62" t="s">
        <v>231</v>
      </c>
      <c r="C80" s="63" t="s">
        <v>3601</v>
      </c>
      <c r="D80" s="64">
        <v>7.631578947368421</v>
      </c>
      <c r="E80" s="65" t="s">
        <v>136</v>
      </c>
      <c r="F80" s="66">
        <v>27.09433962264151</v>
      </c>
      <c r="G80" s="63"/>
      <c r="H80" s="67"/>
      <c r="I80" s="68"/>
      <c r="J80" s="68"/>
      <c r="K80" s="31" t="s">
        <v>65</v>
      </c>
      <c r="L80" s="76">
        <v>80</v>
      </c>
      <c r="M80" s="76"/>
      <c r="N80" s="70"/>
      <c r="O80" s="78" t="s">
        <v>305</v>
      </c>
      <c r="P80" s="78" t="s">
        <v>328</v>
      </c>
      <c r="Q80" s="78" t="s">
        <v>680</v>
      </c>
      <c r="R80" s="78" t="s">
        <v>1271</v>
      </c>
      <c r="S80" s="78"/>
      <c r="T80" s="78"/>
      <c r="U80" s="78"/>
      <c r="V80" s="78"/>
      <c r="W80" s="81" t="s">
        <v>1674</v>
      </c>
      <c r="X80" s="81" t="s">
        <v>1674</v>
      </c>
      <c r="Y80" s="78"/>
      <c r="Z80" s="78"/>
      <c r="AA80" s="81" t="s">
        <v>1674</v>
      </c>
      <c r="AB80" s="79">
        <v>11</v>
      </c>
      <c r="AC80" s="80" t="str">
        <f>REPLACE(INDEX(GroupVertices[Group],MATCH("~"&amp;Edges[[#This Row],[Vertex 1]],GroupVertices[Vertex],0)),1,1,"")</f>
        <v>7</v>
      </c>
      <c r="AD80" s="80" t="str">
        <f>REPLACE(INDEX(GroupVertices[Group],MATCH("~"&amp;Edges[[#This Row],[Vertex 2]],GroupVertices[Vertex],0)),1,1,"")</f>
        <v>7</v>
      </c>
      <c r="AE80" s="105"/>
      <c r="AF80" s="105"/>
      <c r="AG80" s="105"/>
      <c r="AH80" s="105"/>
      <c r="AI80" s="105"/>
      <c r="AJ80" s="105"/>
      <c r="AK80" s="105"/>
      <c r="AL80" s="105"/>
      <c r="AM80" s="105"/>
    </row>
    <row r="81" spans="1:39" ht="15">
      <c r="A81" s="62" t="s">
        <v>232</v>
      </c>
      <c r="B81" s="62" t="s">
        <v>231</v>
      </c>
      <c r="C81" s="63" t="s">
        <v>3601</v>
      </c>
      <c r="D81" s="64">
        <v>7.631578947368421</v>
      </c>
      <c r="E81" s="65" t="s">
        <v>136</v>
      </c>
      <c r="F81" s="66">
        <v>27.09433962264151</v>
      </c>
      <c r="G81" s="63"/>
      <c r="H81" s="67"/>
      <c r="I81" s="68"/>
      <c r="J81" s="68"/>
      <c r="K81" s="31" t="s">
        <v>65</v>
      </c>
      <c r="L81" s="76">
        <v>81</v>
      </c>
      <c r="M81" s="76"/>
      <c r="N81" s="70"/>
      <c r="O81" s="78" t="s">
        <v>305</v>
      </c>
      <c r="P81" s="78" t="s">
        <v>328</v>
      </c>
      <c r="Q81" s="78" t="s">
        <v>680</v>
      </c>
      <c r="R81" s="78" t="s">
        <v>1272</v>
      </c>
      <c r="S81" s="78"/>
      <c r="T81" s="78"/>
      <c r="U81" s="78"/>
      <c r="V81" s="78"/>
      <c r="W81" s="81" t="s">
        <v>1674</v>
      </c>
      <c r="X81" s="81" t="s">
        <v>1674</v>
      </c>
      <c r="Y81" s="78"/>
      <c r="Z81" s="78"/>
      <c r="AA81" s="81" t="s">
        <v>1674</v>
      </c>
      <c r="AB81" s="79">
        <v>11</v>
      </c>
      <c r="AC81" s="80" t="str">
        <f>REPLACE(INDEX(GroupVertices[Group],MATCH("~"&amp;Edges[[#This Row],[Vertex 1]],GroupVertices[Vertex],0)),1,1,"")</f>
        <v>7</v>
      </c>
      <c r="AD81" s="80" t="str">
        <f>REPLACE(INDEX(GroupVertices[Group],MATCH("~"&amp;Edges[[#This Row],[Vertex 2]],GroupVertices[Vertex],0)),1,1,"")</f>
        <v>7</v>
      </c>
      <c r="AE81" s="105"/>
      <c r="AF81" s="105"/>
      <c r="AG81" s="105"/>
      <c r="AH81" s="105"/>
      <c r="AI81" s="105"/>
      <c r="AJ81" s="105"/>
      <c r="AK81" s="105"/>
      <c r="AL81" s="105"/>
      <c r="AM81" s="105"/>
    </row>
    <row r="82" spans="1:39" ht="15">
      <c r="A82" s="62" t="s">
        <v>232</v>
      </c>
      <c r="B82" s="62" t="s">
        <v>231</v>
      </c>
      <c r="C82" s="63" t="s">
        <v>3601</v>
      </c>
      <c r="D82" s="64">
        <v>7.631578947368421</v>
      </c>
      <c r="E82" s="65" t="s">
        <v>136</v>
      </c>
      <c r="F82" s="66">
        <v>27.09433962264151</v>
      </c>
      <c r="G82" s="63"/>
      <c r="H82" s="67"/>
      <c r="I82" s="68"/>
      <c r="J82" s="68"/>
      <c r="K82" s="31" t="s">
        <v>65</v>
      </c>
      <c r="L82" s="76">
        <v>82</v>
      </c>
      <c r="M82" s="76"/>
      <c r="N82" s="70"/>
      <c r="O82" s="78" t="s">
        <v>305</v>
      </c>
      <c r="P82" s="78" t="s">
        <v>328</v>
      </c>
      <c r="Q82" s="78" t="s">
        <v>680</v>
      </c>
      <c r="R82" s="78" t="s">
        <v>1273</v>
      </c>
      <c r="S82" s="78"/>
      <c r="T82" s="78"/>
      <c r="U82" s="78"/>
      <c r="V82" s="78"/>
      <c r="W82" s="81" t="s">
        <v>1674</v>
      </c>
      <c r="X82" s="81" t="s">
        <v>1674</v>
      </c>
      <c r="Y82" s="78"/>
      <c r="Z82" s="78"/>
      <c r="AA82" s="81" t="s">
        <v>1674</v>
      </c>
      <c r="AB82" s="79">
        <v>11</v>
      </c>
      <c r="AC82" s="80" t="str">
        <f>REPLACE(INDEX(GroupVertices[Group],MATCH("~"&amp;Edges[[#This Row],[Vertex 1]],GroupVertices[Vertex],0)),1,1,"")</f>
        <v>7</v>
      </c>
      <c r="AD82" s="80" t="str">
        <f>REPLACE(INDEX(GroupVertices[Group],MATCH("~"&amp;Edges[[#This Row],[Vertex 2]],GroupVertices[Vertex],0)),1,1,"")</f>
        <v>7</v>
      </c>
      <c r="AE82" s="105"/>
      <c r="AF82" s="105"/>
      <c r="AG82" s="105"/>
      <c r="AH82" s="105"/>
      <c r="AI82" s="105"/>
      <c r="AJ82" s="105"/>
      <c r="AK82" s="105"/>
      <c r="AL82" s="105"/>
      <c r="AM82" s="105"/>
    </row>
    <row r="83" spans="1:39" ht="15">
      <c r="A83" s="62" t="s">
        <v>232</v>
      </c>
      <c r="B83" s="62" t="s">
        <v>231</v>
      </c>
      <c r="C83" s="63" t="s">
        <v>3601</v>
      </c>
      <c r="D83" s="64">
        <v>7.631578947368421</v>
      </c>
      <c r="E83" s="65" t="s">
        <v>136</v>
      </c>
      <c r="F83" s="66">
        <v>27.09433962264151</v>
      </c>
      <c r="G83" s="63"/>
      <c r="H83" s="67"/>
      <c r="I83" s="68"/>
      <c r="J83" s="68"/>
      <c r="K83" s="31" t="s">
        <v>65</v>
      </c>
      <c r="L83" s="76">
        <v>83</v>
      </c>
      <c r="M83" s="76"/>
      <c r="N83" s="70"/>
      <c r="O83" s="78" t="s">
        <v>305</v>
      </c>
      <c r="P83" s="78" t="s">
        <v>329</v>
      </c>
      <c r="Q83" s="78" t="s">
        <v>681</v>
      </c>
      <c r="R83" s="78" t="s">
        <v>1274</v>
      </c>
      <c r="S83" s="78"/>
      <c r="T83" s="78"/>
      <c r="U83" s="78"/>
      <c r="V83" s="78"/>
      <c r="W83" s="81" t="s">
        <v>1674</v>
      </c>
      <c r="X83" s="81" t="s">
        <v>1674</v>
      </c>
      <c r="Y83" s="78"/>
      <c r="Z83" s="78"/>
      <c r="AA83" s="81" t="s">
        <v>1674</v>
      </c>
      <c r="AB83" s="79">
        <v>11</v>
      </c>
      <c r="AC83" s="80" t="str">
        <f>REPLACE(INDEX(GroupVertices[Group],MATCH("~"&amp;Edges[[#This Row],[Vertex 1]],GroupVertices[Vertex],0)),1,1,"")</f>
        <v>7</v>
      </c>
      <c r="AD83" s="80" t="str">
        <f>REPLACE(INDEX(GroupVertices[Group],MATCH("~"&amp;Edges[[#This Row],[Vertex 2]],GroupVertices[Vertex],0)),1,1,"")</f>
        <v>7</v>
      </c>
      <c r="AE83" s="105"/>
      <c r="AF83" s="105"/>
      <c r="AG83" s="105"/>
      <c r="AH83" s="105"/>
      <c r="AI83" s="105"/>
      <c r="AJ83" s="105"/>
      <c r="AK83" s="105"/>
      <c r="AL83" s="105"/>
      <c r="AM83" s="105"/>
    </row>
    <row r="84" spans="1:39" ht="15">
      <c r="A84" s="62" t="s">
        <v>232</v>
      </c>
      <c r="B84" s="62" t="s">
        <v>231</v>
      </c>
      <c r="C84" s="63" t="s">
        <v>3601</v>
      </c>
      <c r="D84" s="64">
        <v>7.631578947368421</v>
      </c>
      <c r="E84" s="65" t="s">
        <v>136</v>
      </c>
      <c r="F84" s="66">
        <v>27.09433962264151</v>
      </c>
      <c r="G84" s="63"/>
      <c r="H84" s="67"/>
      <c r="I84" s="68"/>
      <c r="J84" s="68"/>
      <c r="K84" s="31" t="s">
        <v>65</v>
      </c>
      <c r="L84" s="76">
        <v>84</v>
      </c>
      <c r="M84" s="76"/>
      <c r="N84" s="70"/>
      <c r="O84" s="78" t="s">
        <v>305</v>
      </c>
      <c r="P84" s="78" t="s">
        <v>330</v>
      </c>
      <c r="Q84" s="78" t="s">
        <v>682</v>
      </c>
      <c r="R84" s="78" t="s">
        <v>1275</v>
      </c>
      <c r="S84" s="78"/>
      <c r="T84" s="78"/>
      <c r="U84" s="78"/>
      <c r="V84" s="78"/>
      <c r="W84" s="81" t="s">
        <v>1674</v>
      </c>
      <c r="X84" s="81" t="s">
        <v>1674</v>
      </c>
      <c r="Y84" s="78"/>
      <c r="Z84" s="78"/>
      <c r="AA84" s="81" t="s">
        <v>1674</v>
      </c>
      <c r="AB84" s="79">
        <v>11</v>
      </c>
      <c r="AC84" s="80" t="str">
        <f>REPLACE(INDEX(GroupVertices[Group],MATCH("~"&amp;Edges[[#This Row],[Vertex 1]],GroupVertices[Vertex],0)),1,1,"")</f>
        <v>7</v>
      </c>
      <c r="AD84" s="80" t="str">
        <f>REPLACE(INDEX(GroupVertices[Group],MATCH("~"&amp;Edges[[#This Row],[Vertex 2]],GroupVertices[Vertex],0)),1,1,"")</f>
        <v>7</v>
      </c>
      <c r="AE84" s="105"/>
      <c r="AF84" s="105"/>
      <c r="AG84" s="105"/>
      <c r="AH84" s="105"/>
      <c r="AI84" s="105"/>
      <c r="AJ84" s="105"/>
      <c r="AK84" s="105"/>
      <c r="AL84" s="105"/>
      <c r="AM84" s="105"/>
    </row>
    <row r="85" spans="1:39" ht="15">
      <c r="A85" s="62" t="s">
        <v>232</v>
      </c>
      <c r="B85" s="62" t="s">
        <v>231</v>
      </c>
      <c r="C85" s="63" t="s">
        <v>3601</v>
      </c>
      <c r="D85" s="64">
        <v>7.631578947368421</v>
      </c>
      <c r="E85" s="65" t="s">
        <v>136</v>
      </c>
      <c r="F85" s="66">
        <v>27.09433962264151</v>
      </c>
      <c r="G85" s="63"/>
      <c r="H85" s="67"/>
      <c r="I85" s="68"/>
      <c r="J85" s="68"/>
      <c r="K85" s="31" t="s">
        <v>65</v>
      </c>
      <c r="L85" s="76">
        <v>85</v>
      </c>
      <c r="M85" s="76"/>
      <c r="N85" s="70"/>
      <c r="O85" s="78" t="s">
        <v>305</v>
      </c>
      <c r="P85" s="78" t="s">
        <v>331</v>
      </c>
      <c r="Q85" s="78" t="s">
        <v>683</v>
      </c>
      <c r="R85" s="78" t="s">
        <v>683</v>
      </c>
      <c r="S85" s="78"/>
      <c r="T85" s="78"/>
      <c r="U85" s="78"/>
      <c r="V85" s="78"/>
      <c r="W85" s="81" t="s">
        <v>1674</v>
      </c>
      <c r="X85" s="81" t="s">
        <v>1674</v>
      </c>
      <c r="Y85" s="78"/>
      <c r="Z85" s="78"/>
      <c r="AA85" s="81" t="s">
        <v>1674</v>
      </c>
      <c r="AB85" s="79">
        <v>11</v>
      </c>
      <c r="AC85" s="80" t="str">
        <f>REPLACE(INDEX(GroupVertices[Group],MATCH("~"&amp;Edges[[#This Row],[Vertex 1]],GroupVertices[Vertex],0)),1,1,"")</f>
        <v>7</v>
      </c>
      <c r="AD85" s="80" t="str">
        <f>REPLACE(INDEX(GroupVertices[Group],MATCH("~"&amp;Edges[[#This Row],[Vertex 2]],GroupVertices[Vertex],0)),1,1,"")</f>
        <v>7</v>
      </c>
      <c r="AE85" s="105"/>
      <c r="AF85" s="105"/>
      <c r="AG85" s="105"/>
      <c r="AH85" s="105"/>
      <c r="AI85" s="105"/>
      <c r="AJ85" s="105"/>
      <c r="AK85" s="105"/>
      <c r="AL85" s="105"/>
      <c r="AM85" s="105"/>
    </row>
    <row r="86" spans="1:39" ht="15">
      <c r="A86" s="62" t="s">
        <v>232</v>
      </c>
      <c r="B86" s="62" t="s">
        <v>231</v>
      </c>
      <c r="C86" s="63" t="s">
        <v>3601</v>
      </c>
      <c r="D86" s="64">
        <v>7.631578947368421</v>
      </c>
      <c r="E86" s="65" t="s">
        <v>136</v>
      </c>
      <c r="F86" s="66">
        <v>27.09433962264151</v>
      </c>
      <c r="G86" s="63"/>
      <c r="H86" s="67"/>
      <c r="I86" s="68"/>
      <c r="J86" s="68"/>
      <c r="K86" s="31" t="s">
        <v>65</v>
      </c>
      <c r="L86" s="76">
        <v>86</v>
      </c>
      <c r="M86" s="76"/>
      <c r="N86" s="70"/>
      <c r="O86" s="78" t="s">
        <v>305</v>
      </c>
      <c r="P86" s="78" t="s">
        <v>332</v>
      </c>
      <c r="Q86" s="78" t="s">
        <v>684</v>
      </c>
      <c r="R86" s="78" t="s">
        <v>1276</v>
      </c>
      <c r="S86" s="78"/>
      <c r="T86" s="78"/>
      <c r="U86" s="78"/>
      <c r="V86" s="78"/>
      <c r="W86" s="81" t="s">
        <v>1674</v>
      </c>
      <c r="X86" s="81" t="s">
        <v>1674</v>
      </c>
      <c r="Y86" s="78"/>
      <c r="Z86" s="78"/>
      <c r="AA86" s="81" t="s">
        <v>1674</v>
      </c>
      <c r="AB86" s="79">
        <v>11</v>
      </c>
      <c r="AC86" s="80" t="str">
        <f>REPLACE(INDEX(GroupVertices[Group],MATCH("~"&amp;Edges[[#This Row],[Vertex 1]],GroupVertices[Vertex],0)),1,1,"")</f>
        <v>7</v>
      </c>
      <c r="AD86" s="80" t="str">
        <f>REPLACE(INDEX(GroupVertices[Group],MATCH("~"&amp;Edges[[#This Row],[Vertex 2]],GroupVertices[Vertex],0)),1,1,"")</f>
        <v>7</v>
      </c>
      <c r="AE86" s="105"/>
      <c r="AF86" s="105"/>
      <c r="AG86" s="105"/>
      <c r="AH86" s="105"/>
      <c r="AI86" s="105"/>
      <c r="AJ86" s="105"/>
      <c r="AK86" s="105"/>
      <c r="AL86" s="105"/>
      <c r="AM86" s="105"/>
    </row>
    <row r="87" spans="1:39" ht="15">
      <c r="A87" s="62" t="s">
        <v>232</v>
      </c>
      <c r="B87" s="62" t="s">
        <v>231</v>
      </c>
      <c r="C87" s="63" t="s">
        <v>3601</v>
      </c>
      <c r="D87" s="64">
        <v>7.631578947368421</v>
      </c>
      <c r="E87" s="65" t="s">
        <v>136</v>
      </c>
      <c r="F87" s="66">
        <v>27.09433962264151</v>
      </c>
      <c r="G87" s="63"/>
      <c r="H87" s="67"/>
      <c r="I87" s="68"/>
      <c r="J87" s="68"/>
      <c r="K87" s="31" t="s">
        <v>65</v>
      </c>
      <c r="L87" s="76">
        <v>87</v>
      </c>
      <c r="M87" s="76"/>
      <c r="N87" s="70"/>
      <c r="O87" s="78" t="s">
        <v>305</v>
      </c>
      <c r="P87" s="78" t="s">
        <v>333</v>
      </c>
      <c r="Q87" s="78" t="s">
        <v>685</v>
      </c>
      <c r="R87" s="78" t="s">
        <v>1277</v>
      </c>
      <c r="S87" s="78"/>
      <c r="T87" s="78"/>
      <c r="U87" s="78"/>
      <c r="V87" s="78"/>
      <c r="W87" s="81" t="s">
        <v>1674</v>
      </c>
      <c r="X87" s="81" t="s">
        <v>1674</v>
      </c>
      <c r="Y87" s="78"/>
      <c r="Z87" s="78"/>
      <c r="AA87" s="81" t="s">
        <v>1674</v>
      </c>
      <c r="AB87" s="79">
        <v>11</v>
      </c>
      <c r="AC87" s="80" t="str">
        <f>REPLACE(INDEX(GroupVertices[Group],MATCH("~"&amp;Edges[[#This Row],[Vertex 1]],GroupVertices[Vertex],0)),1,1,"")</f>
        <v>7</v>
      </c>
      <c r="AD87" s="80" t="str">
        <f>REPLACE(INDEX(GroupVertices[Group],MATCH("~"&amp;Edges[[#This Row],[Vertex 2]],GroupVertices[Vertex],0)),1,1,"")</f>
        <v>7</v>
      </c>
      <c r="AE87" s="105"/>
      <c r="AF87" s="105"/>
      <c r="AG87" s="105"/>
      <c r="AH87" s="105"/>
      <c r="AI87" s="105"/>
      <c r="AJ87" s="105"/>
      <c r="AK87" s="105"/>
      <c r="AL87" s="105"/>
      <c r="AM87" s="105"/>
    </row>
    <row r="88" spans="1:39" ht="15">
      <c r="A88" s="62" t="s">
        <v>233</v>
      </c>
      <c r="B88" s="62" t="s">
        <v>248</v>
      </c>
      <c r="C88" s="63" t="s">
        <v>3598</v>
      </c>
      <c r="D88" s="64">
        <v>5</v>
      </c>
      <c r="E88" s="65" t="s">
        <v>132</v>
      </c>
      <c r="F88" s="66">
        <v>32</v>
      </c>
      <c r="G88" s="63"/>
      <c r="H88" s="67"/>
      <c r="I88" s="68"/>
      <c r="J88" s="68"/>
      <c r="K88" s="31" t="s">
        <v>65</v>
      </c>
      <c r="L88" s="76">
        <v>88</v>
      </c>
      <c r="M88" s="76"/>
      <c r="N88" s="70"/>
      <c r="O88" s="78" t="s">
        <v>305</v>
      </c>
      <c r="P88" s="78" t="s">
        <v>334</v>
      </c>
      <c r="Q88" s="78" t="s">
        <v>686</v>
      </c>
      <c r="R88" s="78" t="s">
        <v>1278</v>
      </c>
      <c r="S88" s="78"/>
      <c r="T88" s="78"/>
      <c r="U88" s="78"/>
      <c r="V88" s="78"/>
      <c r="W88" s="81" t="s">
        <v>1674</v>
      </c>
      <c r="X88" s="81" t="s">
        <v>1674</v>
      </c>
      <c r="Y88" s="78"/>
      <c r="Z88" s="78"/>
      <c r="AA88" s="81" t="s">
        <v>1674</v>
      </c>
      <c r="AB88" s="79">
        <v>1</v>
      </c>
      <c r="AC88" s="80" t="str">
        <f>REPLACE(INDEX(GroupVertices[Group],MATCH("~"&amp;Edges[[#This Row],[Vertex 1]],GroupVertices[Vertex],0)),1,1,"")</f>
        <v>1</v>
      </c>
      <c r="AD88" s="80" t="str">
        <f>REPLACE(INDEX(GroupVertices[Group],MATCH("~"&amp;Edges[[#This Row],[Vertex 2]],GroupVertices[Vertex],0)),1,1,"")</f>
        <v>1</v>
      </c>
      <c r="AE88" s="105"/>
      <c r="AF88" s="105"/>
      <c r="AG88" s="105"/>
      <c r="AH88" s="105"/>
      <c r="AI88" s="105"/>
      <c r="AJ88" s="105"/>
      <c r="AK88" s="105"/>
      <c r="AL88" s="105"/>
      <c r="AM88" s="105"/>
    </row>
    <row r="89" spans="1:39" ht="15">
      <c r="A89" s="62" t="s">
        <v>233</v>
      </c>
      <c r="B89" s="62" t="s">
        <v>253</v>
      </c>
      <c r="C89" s="63" t="s">
        <v>3598</v>
      </c>
      <c r="D89" s="64">
        <v>5</v>
      </c>
      <c r="E89" s="65" t="s">
        <v>132</v>
      </c>
      <c r="F89" s="66">
        <v>32</v>
      </c>
      <c r="G89" s="63"/>
      <c r="H89" s="67"/>
      <c r="I89" s="68"/>
      <c r="J89" s="68"/>
      <c r="K89" s="31" t="s">
        <v>65</v>
      </c>
      <c r="L89" s="76">
        <v>89</v>
      </c>
      <c r="M89" s="76"/>
      <c r="N89" s="70"/>
      <c r="O89" s="78" t="s">
        <v>305</v>
      </c>
      <c r="P89" s="78" t="s">
        <v>334</v>
      </c>
      <c r="Q89" s="78" t="s">
        <v>686</v>
      </c>
      <c r="R89" s="78" t="s">
        <v>718</v>
      </c>
      <c r="S89" s="78"/>
      <c r="T89" s="78"/>
      <c r="U89" s="78"/>
      <c r="V89" s="78"/>
      <c r="W89" s="81" t="s">
        <v>1674</v>
      </c>
      <c r="X89" s="81" t="s">
        <v>1674</v>
      </c>
      <c r="Y89" s="78"/>
      <c r="Z89" s="78"/>
      <c r="AA89" s="81" t="s">
        <v>1674</v>
      </c>
      <c r="AB89" s="79">
        <v>1</v>
      </c>
      <c r="AC89" s="80" t="str">
        <f>REPLACE(INDEX(GroupVertices[Group],MATCH("~"&amp;Edges[[#This Row],[Vertex 1]],GroupVertices[Vertex],0)),1,1,"")</f>
        <v>1</v>
      </c>
      <c r="AD89" s="80" t="str">
        <f>REPLACE(INDEX(GroupVertices[Group],MATCH("~"&amp;Edges[[#This Row],[Vertex 2]],GroupVertices[Vertex],0)),1,1,"")</f>
        <v>1</v>
      </c>
      <c r="AE89" s="105"/>
      <c r="AF89" s="105"/>
      <c r="AG89" s="105"/>
      <c r="AH89" s="105"/>
      <c r="AI89" s="105"/>
      <c r="AJ89" s="105"/>
      <c r="AK89" s="105"/>
      <c r="AL89" s="105"/>
      <c r="AM89" s="105"/>
    </row>
    <row r="90" spans="1:39" ht="15">
      <c r="A90" s="62" t="s">
        <v>234</v>
      </c>
      <c r="B90" s="62" t="s">
        <v>233</v>
      </c>
      <c r="C90" s="63" t="s">
        <v>3602</v>
      </c>
      <c r="D90" s="64">
        <v>5.526315789473684</v>
      </c>
      <c r="E90" s="65" t="s">
        <v>136</v>
      </c>
      <c r="F90" s="66">
        <v>31.0188679245283</v>
      </c>
      <c r="G90" s="63"/>
      <c r="H90" s="67"/>
      <c r="I90" s="68"/>
      <c r="J90" s="68"/>
      <c r="K90" s="31" t="s">
        <v>65</v>
      </c>
      <c r="L90" s="76">
        <v>90</v>
      </c>
      <c r="M90" s="76"/>
      <c r="N90" s="70"/>
      <c r="O90" s="78" t="s">
        <v>305</v>
      </c>
      <c r="P90" s="78" t="s">
        <v>335</v>
      </c>
      <c r="Q90" s="78" t="s">
        <v>687</v>
      </c>
      <c r="R90" s="78" t="s">
        <v>1279</v>
      </c>
      <c r="S90" s="78"/>
      <c r="T90" s="78"/>
      <c r="U90" s="78"/>
      <c r="V90" s="78"/>
      <c r="W90" s="81" t="s">
        <v>1674</v>
      </c>
      <c r="X90" s="81" t="s">
        <v>1674</v>
      </c>
      <c r="Y90" s="78"/>
      <c r="Z90" s="78"/>
      <c r="AA90" s="81" t="s">
        <v>1674</v>
      </c>
      <c r="AB90" s="79">
        <v>3</v>
      </c>
      <c r="AC90" s="80" t="str">
        <f>REPLACE(INDEX(GroupVertices[Group],MATCH("~"&amp;Edges[[#This Row],[Vertex 1]],GroupVertices[Vertex],0)),1,1,"")</f>
        <v>1</v>
      </c>
      <c r="AD90" s="80" t="str">
        <f>REPLACE(INDEX(GroupVertices[Group],MATCH("~"&amp;Edges[[#This Row],[Vertex 2]],GroupVertices[Vertex],0)),1,1,"")</f>
        <v>1</v>
      </c>
      <c r="AE90" s="105"/>
      <c r="AF90" s="105"/>
      <c r="AG90" s="105"/>
      <c r="AH90" s="105"/>
      <c r="AI90" s="105"/>
      <c r="AJ90" s="105"/>
      <c r="AK90" s="105"/>
      <c r="AL90" s="105"/>
      <c r="AM90" s="105"/>
    </row>
    <row r="91" spans="1:39" ht="15">
      <c r="A91" s="62" t="s">
        <v>234</v>
      </c>
      <c r="B91" s="62" t="s">
        <v>233</v>
      </c>
      <c r="C91" s="63" t="s">
        <v>3602</v>
      </c>
      <c r="D91" s="64">
        <v>5.526315789473684</v>
      </c>
      <c r="E91" s="65" t="s">
        <v>136</v>
      </c>
      <c r="F91" s="66">
        <v>31.0188679245283</v>
      </c>
      <c r="G91" s="63"/>
      <c r="H91" s="67"/>
      <c r="I91" s="68"/>
      <c r="J91" s="68"/>
      <c r="K91" s="31" t="s">
        <v>65</v>
      </c>
      <c r="L91" s="76">
        <v>91</v>
      </c>
      <c r="M91" s="76"/>
      <c r="N91" s="70"/>
      <c r="O91" s="78" t="s">
        <v>305</v>
      </c>
      <c r="P91" s="78" t="s">
        <v>336</v>
      </c>
      <c r="Q91" s="78" t="s">
        <v>688</v>
      </c>
      <c r="R91" s="78" t="s">
        <v>1280</v>
      </c>
      <c r="S91" s="78"/>
      <c r="T91" s="78"/>
      <c r="U91" s="78"/>
      <c r="V91" s="78"/>
      <c r="W91" s="81" t="s">
        <v>1674</v>
      </c>
      <c r="X91" s="81" t="s">
        <v>1674</v>
      </c>
      <c r="Y91" s="78"/>
      <c r="Z91" s="78"/>
      <c r="AA91" s="81" t="s">
        <v>1674</v>
      </c>
      <c r="AB91" s="79">
        <v>3</v>
      </c>
      <c r="AC91" s="80" t="str">
        <f>REPLACE(INDEX(GroupVertices[Group],MATCH("~"&amp;Edges[[#This Row],[Vertex 1]],GroupVertices[Vertex],0)),1,1,"")</f>
        <v>1</v>
      </c>
      <c r="AD91" s="80" t="str">
        <f>REPLACE(INDEX(GroupVertices[Group],MATCH("~"&amp;Edges[[#This Row],[Vertex 2]],GroupVertices[Vertex],0)),1,1,"")</f>
        <v>1</v>
      </c>
      <c r="AE91" s="105"/>
      <c r="AF91" s="105"/>
      <c r="AG91" s="105"/>
      <c r="AH91" s="105"/>
      <c r="AI91" s="105"/>
      <c r="AJ91" s="105"/>
      <c r="AK91" s="105"/>
      <c r="AL91" s="105"/>
      <c r="AM91" s="105"/>
    </row>
    <row r="92" spans="1:39" ht="15">
      <c r="A92" s="62" t="s">
        <v>234</v>
      </c>
      <c r="B92" s="62" t="s">
        <v>233</v>
      </c>
      <c r="C92" s="63" t="s">
        <v>3602</v>
      </c>
      <c r="D92" s="64">
        <v>5.526315789473684</v>
      </c>
      <c r="E92" s="65" t="s">
        <v>136</v>
      </c>
      <c r="F92" s="66">
        <v>31.0188679245283</v>
      </c>
      <c r="G92" s="63"/>
      <c r="H92" s="67"/>
      <c r="I92" s="68"/>
      <c r="J92" s="68"/>
      <c r="K92" s="31" t="s">
        <v>65</v>
      </c>
      <c r="L92" s="76">
        <v>92</v>
      </c>
      <c r="M92" s="76"/>
      <c r="N92" s="70"/>
      <c r="O92" s="78" t="s">
        <v>305</v>
      </c>
      <c r="P92" s="78" t="s">
        <v>337</v>
      </c>
      <c r="Q92" s="78" t="s">
        <v>689</v>
      </c>
      <c r="R92" s="78" t="s">
        <v>1281</v>
      </c>
      <c r="S92" s="78"/>
      <c r="T92" s="78"/>
      <c r="U92" s="78"/>
      <c r="V92" s="78"/>
      <c r="W92" s="81" t="s">
        <v>1674</v>
      </c>
      <c r="X92" s="81" t="s">
        <v>1674</v>
      </c>
      <c r="Y92" s="78"/>
      <c r="Z92" s="78"/>
      <c r="AA92" s="81" t="s">
        <v>1674</v>
      </c>
      <c r="AB92" s="79">
        <v>3</v>
      </c>
      <c r="AC92" s="80" t="str">
        <f>REPLACE(INDEX(GroupVertices[Group],MATCH("~"&amp;Edges[[#This Row],[Vertex 1]],GroupVertices[Vertex],0)),1,1,"")</f>
        <v>1</v>
      </c>
      <c r="AD92" s="80" t="str">
        <f>REPLACE(INDEX(GroupVertices[Group],MATCH("~"&amp;Edges[[#This Row],[Vertex 2]],GroupVertices[Vertex],0)),1,1,"")</f>
        <v>1</v>
      </c>
      <c r="AE92" s="105"/>
      <c r="AF92" s="105"/>
      <c r="AG92" s="105"/>
      <c r="AH92" s="105"/>
      <c r="AI92" s="105"/>
      <c r="AJ92" s="105"/>
      <c r="AK92" s="105"/>
      <c r="AL92" s="105"/>
      <c r="AM92" s="105"/>
    </row>
    <row r="93" spans="1:39" ht="15">
      <c r="A93" s="62" t="s">
        <v>235</v>
      </c>
      <c r="B93" s="62" t="s">
        <v>231</v>
      </c>
      <c r="C93" s="63" t="s">
        <v>3598</v>
      </c>
      <c r="D93" s="64">
        <v>5.2631578947368425</v>
      </c>
      <c r="E93" s="65" t="s">
        <v>136</v>
      </c>
      <c r="F93" s="66">
        <v>31.50943396226415</v>
      </c>
      <c r="G93" s="63"/>
      <c r="H93" s="67"/>
      <c r="I93" s="68"/>
      <c r="J93" s="68"/>
      <c r="K93" s="31" t="s">
        <v>65</v>
      </c>
      <c r="L93" s="76">
        <v>93</v>
      </c>
      <c r="M93" s="76"/>
      <c r="N93" s="70"/>
      <c r="O93" s="78" t="s">
        <v>305</v>
      </c>
      <c r="P93" s="78" t="s">
        <v>338</v>
      </c>
      <c r="Q93" s="78" t="s">
        <v>690</v>
      </c>
      <c r="R93" s="78" t="s">
        <v>1282</v>
      </c>
      <c r="S93" s="78"/>
      <c r="T93" s="78"/>
      <c r="U93" s="78"/>
      <c r="V93" s="78"/>
      <c r="W93" s="81" t="s">
        <v>1674</v>
      </c>
      <c r="X93" s="81" t="s">
        <v>1674</v>
      </c>
      <c r="Y93" s="78"/>
      <c r="Z93" s="78"/>
      <c r="AA93" s="81" t="s">
        <v>1674</v>
      </c>
      <c r="AB93" s="79">
        <v>2</v>
      </c>
      <c r="AC93" s="80" t="str">
        <f>REPLACE(INDEX(GroupVertices[Group],MATCH("~"&amp;Edges[[#This Row],[Vertex 1]],GroupVertices[Vertex],0)),1,1,"")</f>
        <v>1</v>
      </c>
      <c r="AD93" s="80" t="str">
        <f>REPLACE(INDEX(GroupVertices[Group],MATCH("~"&amp;Edges[[#This Row],[Vertex 2]],GroupVertices[Vertex],0)),1,1,"")</f>
        <v>7</v>
      </c>
      <c r="AE93" s="105"/>
      <c r="AF93" s="105"/>
      <c r="AG93" s="105"/>
      <c r="AH93" s="105"/>
      <c r="AI93" s="105"/>
      <c r="AJ93" s="105"/>
      <c r="AK93" s="105"/>
      <c r="AL93" s="105"/>
      <c r="AM93" s="105"/>
    </row>
    <row r="94" spans="1:39" ht="15">
      <c r="A94" s="62" t="s">
        <v>235</v>
      </c>
      <c r="B94" s="62" t="s">
        <v>231</v>
      </c>
      <c r="C94" s="63" t="s">
        <v>3598</v>
      </c>
      <c r="D94" s="64">
        <v>5.2631578947368425</v>
      </c>
      <c r="E94" s="65" t="s">
        <v>136</v>
      </c>
      <c r="F94" s="66">
        <v>31.50943396226415</v>
      </c>
      <c r="G94" s="63"/>
      <c r="H94" s="67"/>
      <c r="I94" s="68"/>
      <c r="J94" s="68"/>
      <c r="K94" s="31" t="s">
        <v>65</v>
      </c>
      <c r="L94" s="76">
        <v>94</v>
      </c>
      <c r="M94" s="76"/>
      <c r="N94" s="70"/>
      <c r="O94" s="78" t="s">
        <v>305</v>
      </c>
      <c r="P94" s="78" t="s">
        <v>338</v>
      </c>
      <c r="Q94" s="78" t="s">
        <v>691</v>
      </c>
      <c r="R94" s="78" t="s">
        <v>1282</v>
      </c>
      <c r="S94" s="78"/>
      <c r="T94" s="78"/>
      <c r="U94" s="78"/>
      <c r="V94" s="78"/>
      <c r="W94" s="81" t="s">
        <v>1674</v>
      </c>
      <c r="X94" s="81" t="s">
        <v>1674</v>
      </c>
      <c r="Y94" s="78"/>
      <c r="Z94" s="78"/>
      <c r="AA94" s="81" t="s">
        <v>1674</v>
      </c>
      <c r="AB94" s="79">
        <v>2</v>
      </c>
      <c r="AC94" s="80" t="str">
        <f>REPLACE(INDEX(GroupVertices[Group],MATCH("~"&amp;Edges[[#This Row],[Vertex 1]],GroupVertices[Vertex],0)),1,1,"")</f>
        <v>1</v>
      </c>
      <c r="AD94" s="80" t="str">
        <f>REPLACE(INDEX(GroupVertices[Group],MATCH("~"&amp;Edges[[#This Row],[Vertex 2]],GroupVertices[Vertex],0)),1,1,"")</f>
        <v>7</v>
      </c>
      <c r="AE94" s="105"/>
      <c r="AF94" s="105"/>
      <c r="AG94" s="105"/>
      <c r="AH94" s="105"/>
      <c r="AI94" s="105"/>
      <c r="AJ94" s="105"/>
      <c r="AK94" s="105"/>
      <c r="AL94" s="105"/>
      <c r="AM94" s="105"/>
    </row>
    <row r="95" spans="1:39" ht="15">
      <c r="A95" s="62" t="s">
        <v>236</v>
      </c>
      <c r="B95" s="62" t="s">
        <v>248</v>
      </c>
      <c r="C95" s="63" t="s">
        <v>3598</v>
      </c>
      <c r="D95" s="64">
        <v>5</v>
      </c>
      <c r="E95" s="65" t="s">
        <v>132</v>
      </c>
      <c r="F95" s="66">
        <v>32</v>
      </c>
      <c r="G95" s="63"/>
      <c r="H95" s="67"/>
      <c r="I95" s="68"/>
      <c r="J95" s="68"/>
      <c r="K95" s="31" t="s">
        <v>65</v>
      </c>
      <c r="L95" s="76">
        <v>95</v>
      </c>
      <c r="M95" s="76"/>
      <c r="N95" s="70"/>
      <c r="O95" s="78" t="s">
        <v>305</v>
      </c>
      <c r="P95" s="78" t="s">
        <v>339</v>
      </c>
      <c r="Q95" s="78" t="s">
        <v>692</v>
      </c>
      <c r="R95" s="78" t="s">
        <v>1283</v>
      </c>
      <c r="S95" s="78"/>
      <c r="T95" s="78"/>
      <c r="U95" s="78"/>
      <c r="V95" s="78"/>
      <c r="W95" s="81" t="s">
        <v>1674</v>
      </c>
      <c r="X95" s="81" t="s">
        <v>1674</v>
      </c>
      <c r="Y95" s="78"/>
      <c r="Z95" s="78"/>
      <c r="AA95" s="81" t="s">
        <v>1674</v>
      </c>
      <c r="AB95" s="79">
        <v>1</v>
      </c>
      <c r="AC95" s="80" t="str">
        <f>REPLACE(INDEX(GroupVertices[Group],MATCH("~"&amp;Edges[[#This Row],[Vertex 1]],GroupVertices[Vertex],0)),1,1,"")</f>
        <v>5</v>
      </c>
      <c r="AD95" s="80" t="str">
        <f>REPLACE(INDEX(GroupVertices[Group],MATCH("~"&amp;Edges[[#This Row],[Vertex 2]],GroupVertices[Vertex],0)),1,1,"")</f>
        <v>1</v>
      </c>
      <c r="AE95" s="105"/>
      <c r="AF95" s="105"/>
      <c r="AG95" s="105"/>
      <c r="AH95" s="105"/>
      <c r="AI95" s="105"/>
      <c r="AJ95" s="105"/>
      <c r="AK95" s="105"/>
      <c r="AL95" s="105"/>
      <c r="AM95" s="105"/>
    </row>
    <row r="96" spans="1:39" ht="15">
      <c r="A96" s="62" t="s">
        <v>237</v>
      </c>
      <c r="B96" s="62" t="s">
        <v>236</v>
      </c>
      <c r="C96" s="63" t="s">
        <v>3598</v>
      </c>
      <c r="D96" s="64">
        <v>5.2631578947368425</v>
      </c>
      <c r="E96" s="65" t="s">
        <v>136</v>
      </c>
      <c r="F96" s="66">
        <v>31.50943396226415</v>
      </c>
      <c r="G96" s="63"/>
      <c r="H96" s="67"/>
      <c r="I96" s="68"/>
      <c r="J96" s="68"/>
      <c r="K96" s="31" t="s">
        <v>65</v>
      </c>
      <c r="L96" s="76">
        <v>96</v>
      </c>
      <c r="M96" s="76"/>
      <c r="N96" s="70"/>
      <c r="O96" s="78" t="s">
        <v>305</v>
      </c>
      <c r="P96" s="78" t="s">
        <v>340</v>
      </c>
      <c r="Q96" s="78" t="s">
        <v>693</v>
      </c>
      <c r="R96" s="78" t="s">
        <v>1284</v>
      </c>
      <c r="S96" s="78"/>
      <c r="T96" s="78"/>
      <c r="U96" s="78"/>
      <c r="V96" s="78"/>
      <c r="W96" s="81" t="s">
        <v>1674</v>
      </c>
      <c r="X96" s="81" t="s">
        <v>1674</v>
      </c>
      <c r="Y96" s="78"/>
      <c r="Z96" s="78"/>
      <c r="AA96" s="81" t="s">
        <v>1674</v>
      </c>
      <c r="AB96" s="79">
        <v>2</v>
      </c>
      <c r="AC96" s="80" t="str">
        <f>REPLACE(INDEX(GroupVertices[Group],MATCH("~"&amp;Edges[[#This Row],[Vertex 1]],GroupVertices[Vertex],0)),1,1,"")</f>
        <v>5</v>
      </c>
      <c r="AD96" s="80" t="str">
        <f>REPLACE(INDEX(GroupVertices[Group],MATCH("~"&amp;Edges[[#This Row],[Vertex 2]],GroupVertices[Vertex],0)),1,1,"")</f>
        <v>5</v>
      </c>
      <c r="AE96" s="105"/>
      <c r="AF96" s="105"/>
      <c r="AG96" s="105"/>
      <c r="AH96" s="105"/>
      <c r="AI96" s="105"/>
      <c r="AJ96" s="105"/>
      <c r="AK96" s="105"/>
      <c r="AL96" s="105"/>
      <c r="AM96" s="105"/>
    </row>
    <row r="97" spans="1:39" ht="15">
      <c r="A97" s="62" t="s">
        <v>237</v>
      </c>
      <c r="B97" s="62" t="s">
        <v>236</v>
      </c>
      <c r="C97" s="63" t="s">
        <v>3598</v>
      </c>
      <c r="D97" s="64">
        <v>5.2631578947368425</v>
      </c>
      <c r="E97" s="65" t="s">
        <v>136</v>
      </c>
      <c r="F97" s="66">
        <v>31.50943396226415</v>
      </c>
      <c r="G97" s="63"/>
      <c r="H97" s="67"/>
      <c r="I97" s="68"/>
      <c r="J97" s="68"/>
      <c r="K97" s="31" t="s">
        <v>65</v>
      </c>
      <c r="L97" s="76">
        <v>97</v>
      </c>
      <c r="M97" s="76"/>
      <c r="N97" s="70"/>
      <c r="O97" s="78" t="s">
        <v>305</v>
      </c>
      <c r="P97" s="78" t="s">
        <v>340</v>
      </c>
      <c r="Q97" s="78" t="s">
        <v>693</v>
      </c>
      <c r="R97" s="78" t="s">
        <v>1285</v>
      </c>
      <c r="S97" s="78"/>
      <c r="T97" s="78"/>
      <c r="U97" s="78"/>
      <c r="V97" s="78"/>
      <c r="W97" s="81" t="s">
        <v>1674</v>
      </c>
      <c r="X97" s="81" t="s">
        <v>1674</v>
      </c>
      <c r="Y97" s="78"/>
      <c r="Z97" s="78"/>
      <c r="AA97" s="81" t="s">
        <v>1674</v>
      </c>
      <c r="AB97" s="79">
        <v>2</v>
      </c>
      <c r="AC97" s="80" t="str">
        <f>REPLACE(INDEX(GroupVertices[Group],MATCH("~"&amp;Edges[[#This Row],[Vertex 1]],GroupVertices[Vertex],0)),1,1,"")</f>
        <v>5</v>
      </c>
      <c r="AD97" s="80" t="str">
        <f>REPLACE(INDEX(GroupVertices[Group],MATCH("~"&amp;Edges[[#This Row],[Vertex 2]],GroupVertices[Vertex],0)),1,1,"")</f>
        <v>5</v>
      </c>
      <c r="AE97" s="105"/>
      <c r="AF97" s="105"/>
      <c r="AG97" s="105"/>
      <c r="AH97" s="105"/>
      <c r="AI97" s="105"/>
      <c r="AJ97" s="105"/>
      <c r="AK97" s="105"/>
      <c r="AL97" s="105"/>
      <c r="AM97" s="105"/>
    </row>
    <row r="98" spans="1:39" ht="15">
      <c r="A98" s="62" t="s">
        <v>235</v>
      </c>
      <c r="B98" s="62" t="s">
        <v>236</v>
      </c>
      <c r="C98" s="63" t="s">
        <v>3598</v>
      </c>
      <c r="D98" s="64">
        <v>5</v>
      </c>
      <c r="E98" s="65" t="s">
        <v>132</v>
      </c>
      <c r="F98" s="66">
        <v>32</v>
      </c>
      <c r="G98" s="63"/>
      <c r="H98" s="67"/>
      <c r="I98" s="68"/>
      <c r="J98" s="68"/>
      <c r="K98" s="31" t="s">
        <v>65</v>
      </c>
      <c r="L98" s="76">
        <v>98</v>
      </c>
      <c r="M98" s="76"/>
      <c r="N98" s="70"/>
      <c r="O98" s="78" t="s">
        <v>305</v>
      </c>
      <c r="P98" s="78" t="s">
        <v>341</v>
      </c>
      <c r="Q98" s="78" t="s">
        <v>694</v>
      </c>
      <c r="R98" s="78" t="s">
        <v>1286</v>
      </c>
      <c r="S98" s="78"/>
      <c r="T98" s="78"/>
      <c r="U98" s="78"/>
      <c r="V98" s="78"/>
      <c r="W98" s="81" t="s">
        <v>1674</v>
      </c>
      <c r="X98" s="81" t="s">
        <v>1674</v>
      </c>
      <c r="Y98" s="78"/>
      <c r="Z98" s="78"/>
      <c r="AA98" s="81" t="s">
        <v>1674</v>
      </c>
      <c r="AB98" s="79">
        <v>1</v>
      </c>
      <c r="AC98" s="80" t="str">
        <f>REPLACE(INDEX(GroupVertices[Group],MATCH("~"&amp;Edges[[#This Row],[Vertex 1]],GroupVertices[Vertex],0)),1,1,"")</f>
        <v>1</v>
      </c>
      <c r="AD98" s="80" t="str">
        <f>REPLACE(INDEX(GroupVertices[Group],MATCH("~"&amp;Edges[[#This Row],[Vertex 2]],GroupVertices[Vertex],0)),1,1,"")</f>
        <v>5</v>
      </c>
      <c r="AE98" s="105"/>
      <c r="AF98" s="105"/>
      <c r="AG98" s="105"/>
      <c r="AH98" s="105"/>
      <c r="AI98" s="105"/>
      <c r="AJ98" s="105"/>
      <c r="AK98" s="105"/>
      <c r="AL98" s="105"/>
      <c r="AM98" s="105"/>
    </row>
    <row r="99" spans="1:39" ht="15">
      <c r="A99" s="62" t="s">
        <v>238</v>
      </c>
      <c r="B99" s="62" t="s">
        <v>248</v>
      </c>
      <c r="C99" s="63" t="s">
        <v>3598</v>
      </c>
      <c r="D99" s="64">
        <v>5</v>
      </c>
      <c r="E99" s="65" t="s">
        <v>132</v>
      </c>
      <c r="F99" s="66">
        <v>32</v>
      </c>
      <c r="G99" s="63"/>
      <c r="H99" s="67"/>
      <c r="I99" s="68"/>
      <c r="J99" s="68"/>
      <c r="K99" s="31" t="s">
        <v>65</v>
      </c>
      <c r="L99" s="76">
        <v>99</v>
      </c>
      <c r="M99" s="76"/>
      <c r="N99" s="70"/>
      <c r="O99" s="78" t="s">
        <v>305</v>
      </c>
      <c r="P99" s="78" t="s">
        <v>342</v>
      </c>
      <c r="Q99" s="78" t="s">
        <v>695</v>
      </c>
      <c r="R99" s="78" t="s">
        <v>1287</v>
      </c>
      <c r="S99" s="78"/>
      <c r="T99" s="78"/>
      <c r="U99" s="78"/>
      <c r="V99" s="78"/>
      <c r="W99" s="81" t="s">
        <v>1674</v>
      </c>
      <c r="X99" s="81" t="s">
        <v>1674</v>
      </c>
      <c r="Y99" s="78"/>
      <c r="Z99" s="78"/>
      <c r="AA99" s="81" t="s">
        <v>1674</v>
      </c>
      <c r="AB99" s="79">
        <v>1</v>
      </c>
      <c r="AC99" s="80" t="str">
        <f>REPLACE(INDEX(GroupVertices[Group],MATCH("~"&amp;Edges[[#This Row],[Vertex 1]],GroupVertices[Vertex],0)),1,1,"")</f>
        <v>5</v>
      </c>
      <c r="AD99" s="80" t="str">
        <f>REPLACE(INDEX(GroupVertices[Group],MATCH("~"&amp;Edges[[#This Row],[Vertex 2]],GroupVertices[Vertex],0)),1,1,"")</f>
        <v>1</v>
      </c>
      <c r="AE99" s="105"/>
      <c r="AF99" s="105"/>
      <c r="AG99" s="105"/>
      <c r="AH99" s="105"/>
      <c r="AI99" s="105"/>
      <c r="AJ99" s="105"/>
      <c r="AK99" s="105"/>
      <c r="AL99" s="105"/>
      <c r="AM99" s="105"/>
    </row>
    <row r="100" spans="1:39" ht="15">
      <c r="A100" s="62" t="s">
        <v>239</v>
      </c>
      <c r="B100" s="62" t="s">
        <v>238</v>
      </c>
      <c r="C100" s="63" t="s">
        <v>3598</v>
      </c>
      <c r="D100" s="64">
        <v>5</v>
      </c>
      <c r="E100" s="65" t="s">
        <v>132</v>
      </c>
      <c r="F100" s="66">
        <v>32</v>
      </c>
      <c r="G100" s="63"/>
      <c r="H100" s="67"/>
      <c r="I100" s="68"/>
      <c r="J100" s="68"/>
      <c r="K100" s="31" t="s">
        <v>65</v>
      </c>
      <c r="L100" s="76">
        <v>100</v>
      </c>
      <c r="M100" s="76"/>
      <c r="N100" s="70"/>
      <c r="O100" s="78" t="s">
        <v>305</v>
      </c>
      <c r="P100" s="78" t="s">
        <v>343</v>
      </c>
      <c r="Q100" s="78" t="s">
        <v>696</v>
      </c>
      <c r="R100" s="78" t="s">
        <v>1288</v>
      </c>
      <c r="S100" s="78"/>
      <c r="T100" s="78"/>
      <c r="U100" s="78"/>
      <c r="V100" s="78"/>
      <c r="W100" s="81" t="s">
        <v>1674</v>
      </c>
      <c r="X100" s="81" t="s">
        <v>1674</v>
      </c>
      <c r="Y100" s="78"/>
      <c r="Z100" s="78"/>
      <c r="AA100" s="81" t="s">
        <v>1674</v>
      </c>
      <c r="AB100" s="79">
        <v>1</v>
      </c>
      <c r="AC100" s="80" t="str">
        <f>REPLACE(INDEX(GroupVertices[Group],MATCH("~"&amp;Edges[[#This Row],[Vertex 1]],GroupVertices[Vertex],0)),1,1,"")</f>
        <v>5</v>
      </c>
      <c r="AD100" s="80" t="str">
        <f>REPLACE(INDEX(GroupVertices[Group],MATCH("~"&amp;Edges[[#This Row],[Vertex 2]],GroupVertices[Vertex],0)),1,1,"")</f>
        <v>5</v>
      </c>
      <c r="AE100" s="105"/>
      <c r="AF100" s="105"/>
      <c r="AG100" s="105"/>
      <c r="AH100" s="105"/>
      <c r="AI100" s="105"/>
      <c r="AJ100" s="105"/>
      <c r="AK100" s="105"/>
      <c r="AL100" s="105"/>
      <c r="AM100" s="105"/>
    </row>
    <row r="101" spans="1:39" ht="15">
      <c r="A101" s="62" t="s">
        <v>240</v>
      </c>
      <c r="B101" s="62" t="s">
        <v>238</v>
      </c>
      <c r="C101" s="63" t="s">
        <v>3598</v>
      </c>
      <c r="D101" s="64">
        <v>5</v>
      </c>
      <c r="E101" s="65" t="s">
        <v>132</v>
      </c>
      <c r="F101" s="66">
        <v>32</v>
      </c>
      <c r="G101" s="63"/>
      <c r="H101" s="67"/>
      <c r="I101" s="68"/>
      <c r="J101" s="68"/>
      <c r="K101" s="31" t="s">
        <v>65</v>
      </c>
      <c r="L101" s="76">
        <v>101</v>
      </c>
      <c r="M101" s="76"/>
      <c r="N101" s="70"/>
      <c r="O101" s="78" t="s">
        <v>305</v>
      </c>
      <c r="P101" s="78" t="s">
        <v>344</v>
      </c>
      <c r="Q101" s="78" t="s">
        <v>697</v>
      </c>
      <c r="R101" s="78" t="s">
        <v>1289</v>
      </c>
      <c r="S101" s="78"/>
      <c r="T101" s="78"/>
      <c r="U101" s="78"/>
      <c r="V101" s="78"/>
      <c r="W101" s="81" t="s">
        <v>1674</v>
      </c>
      <c r="X101" s="81" t="s">
        <v>1674</v>
      </c>
      <c r="Y101" s="78"/>
      <c r="Z101" s="78"/>
      <c r="AA101" s="81" t="s">
        <v>1674</v>
      </c>
      <c r="AB101" s="79">
        <v>1</v>
      </c>
      <c r="AC101" s="80" t="str">
        <f>REPLACE(INDEX(GroupVertices[Group],MATCH("~"&amp;Edges[[#This Row],[Vertex 1]],GroupVertices[Vertex],0)),1,1,"")</f>
        <v>2</v>
      </c>
      <c r="AD101" s="80" t="str">
        <f>REPLACE(INDEX(GroupVertices[Group],MATCH("~"&amp;Edges[[#This Row],[Vertex 2]],GroupVertices[Vertex],0)),1,1,"")</f>
        <v>5</v>
      </c>
      <c r="AE101" s="105"/>
      <c r="AF101" s="105"/>
      <c r="AG101" s="105"/>
      <c r="AH101" s="105"/>
      <c r="AI101" s="105"/>
      <c r="AJ101" s="105"/>
      <c r="AK101" s="105"/>
      <c r="AL101" s="105"/>
      <c r="AM101" s="105"/>
    </row>
    <row r="102" spans="1:39" ht="15">
      <c r="A102" s="62" t="s">
        <v>241</v>
      </c>
      <c r="B102" s="62" t="s">
        <v>238</v>
      </c>
      <c r="C102" s="63" t="s">
        <v>3598</v>
      </c>
      <c r="D102" s="64">
        <v>5</v>
      </c>
      <c r="E102" s="65" t="s">
        <v>132</v>
      </c>
      <c r="F102" s="66">
        <v>32</v>
      </c>
      <c r="G102" s="63"/>
      <c r="H102" s="67"/>
      <c r="I102" s="68"/>
      <c r="J102" s="68"/>
      <c r="K102" s="31" t="s">
        <v>65</v>
      </c>
      <c r="L102" s="76">
        <v>102</v>
      </c>
      <c r="M102" s="76"/>
      <c r="N102" s="70"/>
      <c r="O102" s="78" t="s">
        <v>305</v>
      </c>
      <c r="P102" s="78" t="s">
        <v>345</v>
      </c>
      <c r="Q102" s="78" t="s">
        <v>698</v>
      </c>
      <c r="R102" s="78" t="s">
        <v>1290</v>
      </c>
      <c r="S102" s="78"/>
      <c r="T102" s="78"/>
      <c r="U102" s="78"/>
      <c r="V102" s="78"/>
      <c r="W102" s="81" t="s">
        <v>1674</v>
      </c>
      <c r="X102" s="81" t="s">
        <v>1674</v>
      </c>
      <c r="Y102" s="78"/>
      <c r="Z102" s="78"/>
      <c r="AA102" s="81" t="s">
        <v>1674</v>
      </c>
      <c r="AB102" s="79">
        <v>1</v>
      </c>
      <c r="AC102" s="80" t="str">
        <f>REPLACE(INDEX(GroupVertices[Group],MATCH("~"&amp;Edges[[#This Row],[Vertex 1]],GroupVertices[Vertex],0)),1,1,"")</f>
        <v>2</v>
      </c>
      <c r="AD102" s="80" t="str">
        <f>REPLACE(INDEX(GroupVertices[Group],MATCH("~"&amp;Edges[[#This Row],[Vertex 2]],GroupVertices[Vertex],0)),1,1,"")</f>
        <v>5</v>
      </c>
      <c r="AE102" s="105"/>
      <c r="AF102" s="105"/>
      <c r="AG102" s="105"/>
      <c r="AH102" s="105"/>
      <c r="AI102" s="105"/>
      <c r="AJ102" s="105"/>
      <c r="AK102" s="105"/>
      <c r="AL102" s="105"/>
      <c r="AM102" s="105"/>
    </row>
    <row r="103" spans="1:39" ht="15">
      <c r="A103" s="62" t="s">
        <v>242</v>
      </c>
      <c r="B103" s="62" t="s">
        <v>238</v>
      </c>
      <c r="C103" s="63" t="s">
        <v>3598</v>
      </c>
      <c r="D103" s="64">
        <v>5</v>
      </c>
      <c r="E103" s="65" t="s">
        <v>132</v>
      </c>
      <c r="F103" s="66">
        <v>32</v>
      </c>
      <c r="G103" s="63"/>
      <c r="H103" s="67"/>
      <c r="I103" s="68"/>
      <c r="J103" s="68"/>
      <c r="K103" s="31" t="s">
        <v>65</v>
      </c>
      <c r="L103" s="76">
        <v>103</v>
      </c>
      <c r="M103" s="76"/>
      <c r="N103" s="70"/>
      <c r="O103" s="78" t="s">
        <v>305</v>
      </c>
      <c r="P103" s="78" t="s">
        <v>343</v>
      </c>
      <c r="Q103" s="78" t="s">
        <v>699</v>
      </c>
      <c r="R103" s="78" t="s">
        <v>1288</v>
      </c>
      <c r="S103" s="78"/>
      <c r="T103" s="78"/>
      <c r="U103" s="78"/>
      <c r="V103" s="78"/>
      <c r="W103" s="81" t="s">
        <v>1674</v>
      </c>
      <c r="X103" s="81" t="s">
        <v>1674</v>
      </c>
      <c r="Y103" s="78"/>
      <c r="Z103" s="78"/>
      <c r="AA103" s="81" t="s">
        <v>1674</v>
      </c>
      <c r="AB103" s="79">
        <v>1</v>
      </c>
      <c r="AC103" s="80" t="str">
        <f>REPLACE(INDEX(GroupVertices[Group],MATCH("~"&amp;Edges[[#This Row],[Vertex 1]],GroupVertices[Vertex],0)),1,1,"")</f>
        <v>5</v>
      </c>
      <c r="AD103" s="80" t="str">
        <f>REPLACE(INDEX(GroupVertices[Group],MATCH("~"&amp;Edges[[#This Row],[Vertex 2]],GroupVertices[Vertex],0)),1,1,"")</f>
        <v>5</v>
      </c>
      <c r="AE103" s="105"/>
      <c r="AF103" s="105"/>
      <c r="AG103" s="105"/>
      <c r="AH103" s="105"/>
      <c r="AI103" s="105"/>
      <c r="AJ103" s="105"/>
      <c r="AK103" s="105"/>
      <c r="AL103" s="105"/>
      <c r="AM103" s="105"/>
    </row>
    <row r="104" spans="1:39" ht="15">
      <c r="A104" s="62" t="s">
        <v>243</v>
      </c>
      <c r="B104" s="62" t="s">
        <v>238</v>
      </c>
      <c r="C104" s="63" t="s">
        <v>3598</v>
      </c>
      <c r="D104" s="64">
        <v>5</v>
      </c>
      <c r="E104" s="65" t="s">
        <v>132</v>
      </c>
      <c r="F104" s="66">
        <v>32</v>
      </c>
      <c r="G104" s="63"/>
      <c r="H104" s="67"/>
      <c r="I104" s="68"/>
      <c r="J104" s="68"/>
      <c r="K104" s="31" t="s">
        <v>65</v>
      </c>
      <c r="L104" s="76">
        <v>104</v>
      </c>
      <c r="M104" s="76"/>
      <c r="N104" s="70"/>
      <c r="O104" s="78" t="s">
        <v>305</v>
      </c>
      <c r="P104" s="78" t="s">
        <v>346</v>
      </c>
      <c r="Q104" s="78" t="s">
        <v>700</v>
      </c>
      <c r="R104" s="78" t="s">
        <v>1291</v>
      </c>
      <c r="S104" s="78"/>
      <c r="T104" s="78"/>
      <c r="U104" s="78"/>
      <c r="V104" s="78"/>
      <c r="W104" s="81" t="s">
        <v>1674</v>
      </c>
      <c r="X104" s="81" t="s">
        <v>1674</v>
      </c>
      <c r="Y104" s="78"/>
      <c r="Z104" s="78"/>
      <c r="AA104" s="81" t="s">
        <v>1674</v>
      </c>
      <c r="AB104" s="79">
        <v>1</v>
      </c>
      <c r="AC104" s="80" t="str">
        <f>REPLACE(INDEX(GroupVertices[Group],MATCH("~"&amp;Edges[[#This Row],[Vertex 1]],GroupVertices[Vertex],0)),1,1,"")</f>
        <v>5</v>
      </c>
      <c r="AD104" s="80" t="str">
        <f>REPLACE(INDEX(GroupVertices[Group],MATCH("~"&amp;Edges[[#This Row],[Vertex 2]],GroupVertices[Vertex],0)),1,1,"")</f>
        <v>5</v>
      </c>
      <c r="AE104" s="105"/>
      <c r="AF104" s="105"/>
      <c r="AG104" s="105"/>
      <c r="AH104" s="105"/>
      <c r="AI104" s="105"/>
      <c r="AJ104" s="105"/>
      <c r="AK104" s="105"/>
      <c r="AL104" s="105"/>
      <c r="AM104" s="105"/>
    </row>
    <row r="105" spans="1:39" ht="15">
      <c r="A105" s="62" t="s">
        <v>244</v>
      </c>
      <c r="B105" s="62" t="s">
        <v>238</v>
      </c>
      <c r="C105" s="63" t="s">
        <v>3598</v>
      </c>
      <c r="D105" s="64">
        <v>5.2631578947368425</v>
      </c>
      <c r="E105" s="65" t="s">
        <v>136</v>
      </c>
      <c r="F105" s="66">
        <v>31.50943396226415</v>
      </c>
      <c r="G105" s="63"/>
      <c r="H105" s="67"/>
      <c r="I105" s="68"/>
      <c r="J105" s="68"/>
      <c r="K105" s="31" t="s">
        <v>65</v>
      </c>
      <c r="L105" s="76">
        <v>105</v>
      </c>
      <c r="M105" s="76"/>
      <c r="N105" s="70"/>
      <c r="O105" s="78" t="s">
        <v>305</v>
      </c>
      <c r="P105" s="78" t="s">
        <v>347</v>
      </c>
      <c r="Q105" s="78" t="s">
        <v>701</v>
      </c>
      <c r="R105" s="78" t="s">
        <v>1292</v>
      </c>
      <c r="S105" s="78"/>
      <c r="T105" s="78"/>
      <c r="U105" s="78"/>
      <c r="V105" s="78"/>
      <c r="W105" s="81" t="s">
        <v>1674</v>
      </c>
      <c r="X105" s="81" t="s">
        <v>1674</v>
      </c>
      <c r="Y105" s="78"/>
      <c r="Z105" s="78"/>
      <c r="AA105" s="81" t="s">
        <v>1674</v>
      </c>
      <c r="AB105" s="79">
        <v>2</v>
      </c>
      <c r="AC105" s="80" t="str">
        <f>REPLACE(INDEX(GroupVertices[Group],MATCH("~"&amp;Edges[[#This Row],[Vertex 1]],GroupVertices[Vertex],0)),1,1,"")</f>
        <v>5</v>
      </c>
      <c r="AD105" s="80" t="str">
        <f>REPLACE(INDEX(GroupVertices[Group],MATCH("~"&amp;Edges[[#This Row],[Vertex 2]],GroupVertices[Vertex],0)),1,1,"")</f>
        <v>5</v>
      </c>
      <c r="AE105" s="105"/>
      <c r="AF105" s="105"/>
      <c r="AG105" s="105"/>
      <c r="AH105" s="105"/>
      <c r="AI105" s="105"/>
      <c r="AJ105" s="105"/>
      <c r="AK105" s="105"/>
      <c r="AL105" s="105"/>
      <c r="AM105" s="105"/>
    </row>
    <row r="106" spans="1:39" ht="15">
      <c r="A106" s="62" t="s">
        <v>244</v>
      </c>
      <c r="B106" s="62" t="s">
        <v>238</v>
      </c>
      <c r="C106" s="63" t="s">
        <v>3598</v>
      </c>
      <c r="D106" s="64">
        <v>5.2631578947368425</v>
      </c>
      <c r="E106" s="65" t="s">
        <v>136</v>
      </c>
      <c r="F106" s="66">
        <v>31.50943396226415</v>
      </c>
      <c r="G106" s="63"/>
      <c r="H106" s="67"/>
      <c r="I106" s="68"/>
      <c r="J106" s="68"/>
      <c r="K106" s="31" t="s">
        <v>65</v>
      </c>
      <c r="L106" s="76">
        <v>106</v>
      </c>
      <c r="M106" s="76"/>
      <c r="N106" s="70"/>
      <c r="O106" s="78" t="s">
        <v>305</v>
      </c>
      <c r="P106" s="78" t="s">
        <v>347</v>
      </c>
      <c r="Q106" s="78" t="s">
        <v>701</v>
      </c>
      <c r="R106" s="78" t="s">
        <v>1293</v>
      </c>
      <c r="S106" s="78"/>
      <c r="T106" s="78"/>
      <c r="U106" s="78"/>
      <c r="V106" s="78"/>
      <c r="W106" s="81" t="s">
        <v>1674</v>
      </c>
      <c r="X106" s="81" t="s">
        <v>1674</v>
      </c>
      <c r="Y106" s="78"/>
      <c r="Z106" s="78"/>
      <c r="AA106" s="81" t="s">
        <v>1674</v>
      </c>
      <c r="AB106" s="79">
        <v>2</v>
      </c>
      <c r="AC106" s="80" t="str">
        <f>REPLACE(INDEX(GroupVertices[Group],MATCH("~"&amp;Edges[[#This Row],[Vertex 1]],GroupVertices[Vertex],0)),1,1,"")</f>
        <v>5</v>
      </c>
      <c r="AD106" s="80" t="str">
        <f>REPLACE(INDEX(GroupVertices[Group],MATCH("~"&amp;Edges[[#This Row],[Vertex 2]],GroupVertices[Vertex],0)),1,1,"")</f>
        <v>5</v>
      </c>
      <c r="AE106" s="105"/>
      <c r="AF106" s="105"/>
      <c r="AG106" s="105"/>
      <c r="AH106" s="105"/>
      <c r="AI106" s="105"/>
      <c r="AJ106" s="105"/>
      <c r="AK106" s="105"/>
      <c r="AL106" s="105"/>
      <c r="AM106" s="105"/>
    </row>
    <row r="107" spans="1:39" ht="15">
      <c r="A107" s="62" t="s">
        <v>245</v>
      </c>
      <c r="B107" s="62" t="s">
        <v>238</v>
      </c>
      <c r="C107" s="63" t="s">
        <v>3598</v>
      </c>
      <c r="D107" s="64">
        <v>5</v>
      </c>
      <c r="E107" s="65" t="s">
        <v>132</v>
      </c>
      <c r="F107" s="66">
        <v>32</v>
      </c>
      <c r="G107" s="63"/>
      <c r="H107" s="67"/>
      <c r="I107" s="68"/>
      <c r="J107" s="68"/>
      <c r="K107" s="31" t="s">
        <v>65</v>
      </c>
      <c r="L107" s="76">
        <v>107</v>
      </c>
      <c r="M107" s="76"/>
      <c r="N107" s="70"/>
      <c r="O107" s="78" t="s">
        <v>305</v>
      </c>
      <c r="P107" s="78" t="s">
        <v>348</v>
      </c>
      <c r="Q107" s="78" t="s">
        <v>702</v>
      </c>
      <c r="R107" s="78" t="s">
        <v>916</v>
      </c>
      <c r="S107" s="78"/>
      <c r="T107" s="78"/>
      <c r="U107" s="78"/>
      <c r="V107" s="78"/>
      <c r="W107" s="81" t="s">
        <v>1674</v>
      </c>
      <c r="X107" s="81" t="s">
        <v>1674</v>
      </c>
      <c r="Y107" s="78"/>
      <c r="Z107" s="78"/>
      <c r="AA107" s="81" t="s">
        <v>1674</v>
      </c>
      <c r="AB107" s="79">
        <v>1</v>
      </c>
      <c r="AC107" s="80" t="str">
        <f>REPLACE(INDEX(GroupVertices[Group],MATCH("~"&amp;Edges[[#This Row],[Vertex 1]],GroupVertices[Vertex],0)),1,1,"")</f>
        <v>1</v>
      </c>
      <c r="AD107" s="80" t="str">
        <f>REPLACE(INDEX(GroupVertices[Group],MATCH("~"&amp;Edges[[#This Row],[Vertex 2]],GroupVertices[Vertex],0)),1,1,"")</f>
        <v>5</v>
      </c>
      <c r="AE107" s="105"/>
      <c r="AF107" s="105"/>
      <c r="AG107" s="105"/>
      <c r="AH107" s="105"/>
      <c r="AI107" s="105"/>
      <c r="AJ107" s="105"/>
      <c r="AK107" s="105"/>
      <c r="AL107" s="105"/>
      <c r="AM107" s="105"/>
    </row>
    <row r="108" spans="1:39" ht="15">
      <c r="A108" s="62" t="s">
        <v>246</v>
      </c>
      <c r="B108" s="62" t="s">
        <v>238</v>
      </c>
      <c r="C108" s="63" t="s">
        <v>3598</v>
      </c>
      <c r="D108" s="64">
        <v>5.2631578947368425</v>
      </c>
      <c r="E108" s="65" t="s">
        <v>136</v>
      </c>
      <c r="F108" s="66">
        <v>31.50943396226415</v>
      </c>
      <c r="G108" s="63"/>
      <c r="H108" s="67"/>
      <c r="I108" s="68"/>
      <c r="J108" s="68"/>
      <c r="K108" s="31" t="s">
        <v>65</v>
      </c>
      <c r="L108" s="76">
        <v>108</v>
      </c>
      <c r="M108" s="76"/>
      <c r="N108" s="70"/>
      <c r="O108" s="78" t="s">
        <v>305</v>
      </c>
      <c r="P108" s="78" t="s">
        <v>349</v>
      </c>
      <c r="Q108" s="78" t="s">
        <v>703</v>
      </c>
      <c r="R108" s="78" t="s">
        <v>1294</v>
      </c>
      <c r="S108" s="78"/>
      <c r="T108" s="78"/>
      <c r="U108" s="78"/>
      <c r="V108" s="78"/>
      <c r="W108" s="81" t="s">
        <v>1674</v>
      </c>
      <c r="X108" s="81" t="s">
        <v>1674</v>
      </c>
      <c r="Y108" s="78"/>
      <c r="Z108" s="78"/>
      <c r="AA108" s="81" t="s">
        <v>1674</v>
      </c>
      <c r="AB108" s="79">
        <v>2</v>
      </c>
      <c r="AC108" s="80" t="str">
        <f>REPLACE(INDEX(GroupVertices[Group],MATCH("~"&amp;Edges[[#This Row],[Vertex 1]],GroupVertices[Vertex],0)),1,1,"")</f>
        <v>3</v>
      </c>
      <c r="AD108" s="80" t="str">
        <f>REPLACE(INDEX(GroupVertices[Group],MATCH("~"&amp;Edges[[#This Row],[Vertex 2]],GroupVertices[Vertex],0)),1,1,"")</f>
        <v>5</v>
      </c>
      <c r="AE108" s="105"/>
      <c r="AF108" s="105"/>
      <c r="AG108" s="105"/>
      <c r="AH108" s="105"/>
      <c r="AI108" s="105"/>
      <c r="AJ108" s="105"/>
      <c r="AK108" s="105"/>
      <c r="AL108" s="105"/>
      <c r="AM108" s="105"/>
    </row>
    <row r="109" spans="1:39" ht="15">
      <c r="A109" s="62" t="s">
        <v>246</v>
      </c>
      <c r="B109" s="62" t="s">
        <v>238</v>
      </c>
      <c r="C109" s="63" t="s">
        <v>3598</v>
      </c>
      <c r="D109" s="64">
        <v>5.2631578947368425</v>
      </c>
      <c r="E109" s="65" t="s">
        <v>136</v>
      </c>
      <c r="F109" s="66">
        <v>31.50943396226415</v>
      </c>
      <c r="G109" s="63"/>
      <c r="H109" s="67"/>
      <c r="I109" s="68"/>
      <c r="J109" s="68"/>
      <c r="K109" s="31" t="s">
        <v>65</v>
      </c>
      <c r="L109" s="76">
        <v>109</v>
      </c>
      <c r="M109" s="76"/>
      <c r="N109" s="70"/>
      <c r="O109" s="78" t="s">
        <v>305</v>
      </c>
      <c r="P109" s="78" t="s">
        <v>349</v>
      </c>
      <c r="Q109" s="78" t="s">
        <v>703</v>
      </c>
      <c r="R109" s="78" t="s">
        <v>1295</v>
      </c>
      <c r="S109" s="78"/>
      <c r="T109" s="78"/>
      <c r="U109" s="78"/>
      <c r="V109" s="78"/>
      <c r="W109" s="81" t="s">
        <v>1674</v>
      </c>
      <c r="X109" s="81" t="s">
        <v>1674</v>
      </c>
      <c r="Y109" s="78"/>
      <c r="Z109" s="78"/>
      <c r="AA109" s="81" t="s">
        <v>1674</v>
      </c>
      <c r="AB109" s="79">
        <v>2</v>
      </c>
      <c r="AC109" s="80" t="str">
        <f>REPLACE(INDEX(GroupVertices[Group],MATCH("~"&amp;Edges[[#This Row],[Vertex 1]],GroupVertices[Vertex],0)),1,1,"")</f>
        <v>3</v>
      </c>
      <c r="AD109" s="80" t="str">
        <f>REPLACE(INDEX(GroupVertices[Group],MATCH("~"&amp;Edges[[#This Row],[Vertex 2]],GroupVertices[Vertex],0)),1,1,"")</f>
        <v>5</v>
      </c>
      <c r="AE109" s="105"/>
      <c r="AF109" s="105"/>
      <c r="AG109" s="105"/>
      <c r="AH109" s="105"/>
      <c r="AI109" s="105"/>
      <c r="AJ109" s="105"/>
      <c r="AK109" s="105"/>
      <c r="AL109" s="105"/>
      <c r="AM109" s="105"/>
    </row>
    <row r="110" spans="1:39" ht="15">
      <c r="A110" s="62" t="s">
        <v>247</v>
      </c>
      <c r="B110" s="62" t="s">
        <v>238</v>
      </c>
      <c r="C110" s="63" t="s">
        <v>3598</v>
      </c>
      <c r="D110" s="64">
        <v>5.2631578947368425</v>
      </c>
      <c r="E110" s="65" t="s">
        <v>136</v>
      </c>
      <c r="F110" s="66">
        <v>31.50943396226415</v>
      </c>
      <c r="G110" s="63"/>
      <c r="H110" s="67"/>
      <c r="I110" s="68"/>
      <c r="J110" s="68"/>
      <c r="K110" s="31" t="s">
        <v>65</v>
      </c>
      <c r="L110" s="76">
        <v>110</v>
      </c>
      <c r="M110" s="76"/>
      <c r="N110" s="70"/>
      <c r="O110" s="78" t="s">
        <v>305</v>
      </c>
      <c r="P110" s="78" t="s">
        <v>349</v>
      </c>
      <c r="Q110" s="78" t="s">
        <v>704</v>
      </c>
      <c r="R110" s="78" t="s">
        <v>1294</v>
      </c>
      <c r="S110" s="78"/>
      <c r="T110" s="78"/>
      <c r="U110" s="78"/>
      <c r="V110" s="78"/>
      <c r="W110" s="81" t="s">
        <v>1674</v>
      </c>
      <c r="X110" s="81" t="s">
        <v>1674</v>
      </c>
      <c r="Y110" s="78"/>
      <c r="Z110" s="78"/>
      <c r="AA110" s="81" t="s">
        <v>1674</v>
      </c>
      <c r="AB110" s="79">
        <v>2</v>
      </c>
      <c r="AC110" s="80" t="str">
        <f>REPLACE(INDEX(GroupVertices[Group],MATCH("~"&amp;Edges[[#This Row],[Vertex 1]],GroupVertices[Vertex],0)),1,1,"")</f>
        <v>2</v>
      </c>
      <c r="AD110" s="80" t="str">
        <f>REPLACE(INDEX(GroupVertices[Group],MATCH("~"&amp;Edges[[#This Row],[Vertex 2]],GroupVertices[Vertex],0)),1,1,"")</f>
        <v>5</v>
      </c>
      <c r="AE110" s="105"/>
      <c r="AF110" s="105"/>
      <c r="AG110" s="105"/>
      <c r="AH110" s="105"/>
      <c r="AI110" s="105"/>
      <c r="AJ110" s="105"/>
      <c r="AK110" s="105"/>
      <c r="AL110" s="105"/>
      <c r="AM110" s="105"/>
    </row>
    <row r="111" spans="1:39" ht="15">
      <c r="A111" s="62" t="s">
        <v>247</v>
      </c>
      <c r="B111" s="62" t="s">
        <v>238</v>
      </c>
      <c r="C111" s="63" t="s">
        <v>3598</v>
      </c>
      <c r="D111" s="64">
        <v>5.2631578947368425</v>
      </c>
      <c r="E111" s="65" t="s">
        <v>136</v>
      </c>
      <c r="F111" s="66">
        <v>31.50943396226415</v>
      </c>
      <c r="G111" s="63"/>
      <c r="H111" s="67"/>
      <c r="I111" s="68"/>
      <c r="J111" s="68"/>
      <c r="K111" s="31" t="s">
        <v>65</v>
      </c>
      <c r="L111" s="76">
        <v>111</v>
      </c>
      <c r="M111" s="76"/>
      <c r="N111" s="70"/>
      <c r="O111" s="78" t="s">
        <v>305</v>
      </c>
      <c r="P111" s="78" t="s">
        <v>349</v>
      </c>
      <c r="Q111" s="78" t="s">
        <v>704</v>
      </c>
      <c r="R111" s="78" t="s">
        <v>1295</v>
      </c>
      <c r="S111" s="78"/>
      <c r="T111" s="78"/>
      <c r="U111" s="78"/>
      <c r="V111" s="78"/>
      <c r="W111" s="81" t="s">
        <v>1674</v>
      </c>
      <c r="X111" s="81" t="s">
        <v>1674</v>
      </c>
      <c r="Y111" s="78"/>
      <c r="Z111" s="78"/>
      <c r="AA111" s="81" t="s">
        <v>1674</v>
      </c>
      <c r="AB111" s="79">
        <v>2</v>
      </c>
      <c r="AC111" s="80" t="str">
        <f>REPLACE(INDEX(GroupVertices[Group],MATCH("~"&amp;Edges[[#This Row],[Vertex 1]],GroupVertices[Vertex],0)),1,1,"")</f>
        <v>2</v>
      </c>
      <c r="AD111" s="80" t="str">
        <f>REPLACE(INDEX(GroupVertices[Group],MATCH("~"&amp;Edges[[#This Row],[Vertex 2]],GroupVertices[Vertex],0)),1,1,"")</f>
        <v>5</v>
      </c>
      <c r="AE111" s="105"/>
      <c r="AF111" s="105"/>
      <c r="AG111" s="105"/>
      <c r="AH111" s="105"/>
      <c r="AI111" s="105"/>
      <c r="AJ111" s="105"/>
      <c r="AK111" s="105"/>
      <c r="AL111" s="105"/>
      <c r="AM111" s="105"/>
    </row>
    <row r="112" spans="1:39" ht="15">
      <c r="A112" s="62" t="s">
        <v>248</v>
      </c>
      <c r="B112" s="62" t="s">
        <v>294</v>
      </c>
      <c r="C112" s="63" t="s">
        <v>3598</v>
      </c>
      <c r="D112" s="64">
        <v>5.2631578947368425</v>
      </c>
      <c r="E112" s="65" t="s">
        <v>136</v>
      </c>
      <c r="F112" s="66">
        <v>31.50943396226415</v>
      </c>
      <c r="G112" s="63"/>
      <c r="H112" s="67"/>
      <c r="I112" s="68"/>
      <c r="J112" s="68"/>
      <c r="K112" s="31" t="s">
        <v>65</v>
      </c>
      <c r="L112" s="76">
        <v>112</v>
      </c>
      <c r="M112" s="76"/>
      <c r="N112" s="70"/>
      <c r="O112" s="78" t="s">
        <v>305</v>
      </c>
      <c r="P112" s="78" t="s">
        <v>350</v>
      </c>
      <c r="Q112" s="78" t="s">
        <v>705</v>
      </c>
      <c r="R112" s="78" t="s">
        <v>1296</v>
      </c>
      <c r="S112" s="78"/>
      <c r="T112" s="78"/>
      <c r="U112" s="78"/>
      <c r="V112" s="78"/>
      <c r="W112" s="81" t="s">
        <v>1674</v>
      </c>
      <c r="X112" s="81" t="s">
        <v>1674</v>
      </c>
      <c r="Y112" s="78"/>
      <c r="Z112" s="78"/>
      <c r="AA112" s="81" t="s">
        <v>1674</v>
      </c>
      <c r="AB112" s="79">
        <v>2</v>
      </c>
      <c r="AC112" s="80" t="str">
        <f>REPLACE(INDEX(GroupVertices[Group],MATCH("~"&amp;Edges[[#This Row],[Vertex 1]],GroupVertices[Vertex],0)),1,1,"")</f>
        <v>1</v>
      </c>
      <c r="AD112" s="80" t="str">
        <f>REPLACE(INDEX(GroupVertices[Group],MATCH("~"&amp;Edges[[#This Row],[Vertex 2]],GroupVertices[Vertex],0)),1,1,"")</f>
        <v>2</v>
      </c>
      <c r="AE112" s="105"/>
      <c r="AF112" s="105"/>
      <c r="AG112" s="105"/>
      <c r="AH112" s="105"/>
      <c r="AI112" s="105"/>
      <c r="AJ112" s="105"/>
      <c r="AK112" s="105"/>
      <c r="AL112" s="105"/>
      <c r="AM112" s="105"/>
    </row>
    <row r="113" spans="1:39" ht="15">
      <c r="A113" s="62" t="s">
        <v>248</v>
      </c>
      <c r="B113" s="62" t="s">
        <v>294</v>
      </c>
      <c r="C113" s="63" t="s">
        <v>3598</v>
      </c>
      <c r="D113" s="64">
        <v>5.2631578947368425</v>
      </c>
      <c r="E113" s="65" t="s">
        <v>136</v>
      </c>
      <c r="F113" s="66">
        <v>31.50943396226415</v>
      </c>
      <c r="G113" s="63"/>
      <c r="H113" s="67"/>
      <c r="I113" s="68"/>
      <c r="J113" s="68"/>
      <c r="K113" s="31" t="s">
        <v>65</v>
      </c>
      <c r="L113" s="76">
        <v>113</v>
      </c>
      <c r="M113" s="76"/>
      <c r="N113" s="70"/>
      <c r="O113" s="78" t="s">
        <v>305</v>
      </c>
      <c r="P113" s="78" t="s">
        <v>351</v>
      </c>
      <c r="Q113" s="78" t="s">
        <v>706</v>
      </c>
      <c r="R113" s="78" t="s">
        <v>1297</v>
      </c>
      <c r="S113" s="78"/>
      <c r="T113" s="78"/>
      <c r="U113" s="78"/>
      <c r="V113" s="78"/>
      <c r="W113" s="81" t="s">
        <v>1674</v>
      </c>
      <c r="X113" s="81" t="s">
        <v>1674</v>
      </c>
      <c r="Y113" s="78"/>
      <c r="Z113" s="78"/>
      <c r="AA113" s="81" t="s">
        <v>1674</v>
      </c>
      <c r="AB113" s="79">
        <v>2</v>
      </c>
      <c r="AC113" s="80" t="str">
        <f>REPLACE(INDEX(GroupVertices[Group],MATCH("~"&amp;Edges[[#This Row],[Vertex 1]],GroupVertices[Vertex],0)),1,1,"")</f>
        <v>1</v>
      </c>
      <c r="AD113" s="80" t="str">
        <f>REPLACE(INDEX(GroupVertices[Group],MATCH("~"&amp;Edges[[#This Row],[Vertex 2]],GroupVertices[Vertex],0)),1,1,"")</f>
        <v>2</v>
      </c>
      <c r="AE113" s="105"/>
      <c r="AF113" s="105"/>
      <c r="AG113" s="105"/>
      <c r="AH113" s="105"/>
      <c r="AI113" s="105"/>
      <c r="AJ113" s="105"/>
      <c r="AK113" s="105"/>
      <c r="AL113" s="105"/>
      <c r="AM113" s="105"/>
    </row>
    <row r="114" spans="1:39" ht="15">
      <c r="A114" s="62" t="s">
        <v>249</v>
      </c>
      <c r="B114" s="62" t="s">
        <v>248</v>
      </c>
      <c r="C114" s="63" t="s">
        <v>3598</v>
      </c>
      <c r="D114" s="64">
        <v>5</v>
      </c>
      <c r="E114" s="65" t="s">
        <v>132</v>
      </c>
      <c r="F114" s="66">
        <v>32</v>
      </c>
      <c r="G114" s="63"/>
      <c r="H114" s="67"/>
      <c r="I114" s="68"/>
      <c r="J114" s="68"/>
      <c r="K114" s="31" t="s">
        <v>65</v>
      </c>
      <c r="L114" s="76">
        <v>114</v>
      </c>
      <c r="M114" s="76"/>
      <c r="N114" s="70"/>
      <c r="O114" s="78" t="s">
        <v>305</v>
      </c>
      <c r="P114" s="78" t="s">
        <v>352</v>
      </c>
      <c r="Q114" s="78" t="s">
        <v>707</v>
      </c>
      <c r="R114" s="78" t="s">
        <v>1298</v>
      </c>
      <c r="S114" s="78"/>
      <c r="T114" s="78"/>
      <c r="U114" s="78"/>
      <c r="V114" s="78"/>
      <c r="W114" s="81" t="s">
        <v>1674</v>
      </c>
      <c r="X114" s="81" t="s">
        <v>1674</v>
      </c>
      <c r="Y114" s="78"/>
      <c r="Z114" s="78"/>
      <c r="AA114" s="81" t="s">
        <v>1674</v>
      </c>
      <c r="AB114" s="79">
        <v>1</v>
      </c>
      <c r="AC114" s="80" t="str">
        <f>REPLACE(INDEX(GroupVertices[Group],MATCH("~"&amp;Edges[[#This Row],[Vertex 1]],GroupVertices[Vertex],0)),1,1,"")</f>
        <v>2</v>
      </c>
      <c r="AD114" s="80" t="str">
        <f>REPLACE(INDEX(GroupVertices[Group],MATCH("~"&amp;Edges[[#This Row],[Vertex 2]],GroupVertices[Vertex],0)),1,1,"")</f>
        <v>1</v>
      </c>
      <c r="AE114" s="105"/>
      <c r="AF114" s="105"/>
      <c r="AG114" s="105"/>
      <c r="AH114" s="105"/>
      <c r="AI114" s="105"/>
      <c r="AJ114" s="105"/>
      <c r="AK114" s="105"/>
      <c r="AL114" s="105"/>
      <c r="AM114" s="105"/>
    </row>
    <row r="115" spans="1:39" ht="15">
      <c r="A115" s="62" t="s">
        <v>241</v>
      </c>
      <c r="B115" s="62" t="s">
        <v>248</v>
      </c>
      <c r="C115" s="63" t="s">
        <v>3598</v>
      </c>
      <c r="D115" s="64">
        <v>5.2631578947368425</v>
      </c>
      <c r="E115" s="65" t="s">
        <v>136</v>
      </c>
      <c r="F115" s="66">
        <v>31.50943396226415</v>
      </c>
      <c r="G115" s="63"/>
      <c r="H115" s="67"/>
      <c r="I115" s="68"/>
      <c r="J115" s="68"/>
      <c r="K115" s="31" t="s">
        <v>65</v>
      </c>
      <c r="L115" s="76">
        <v>115</v>
      </c>
      <c r="M115" s="76"/>
      <c r="N115" s="70"/>
      <c r="O115" s="78" t="s">
        <v>305</v>
      </c>
      <c r="P115" s="78" t="s">
        <v>353</v>
      </c>
      <c r="Q115" s="78" t="s">
        <v>708</v>
      </c>
      <c r="R115" s="78" t="s">
        <v>1299</v>
      </c>
      <c r="S115" s="78" t="s">
        <v>1644</v>
      </c>
      <c r="T115" s="78"/>
      <c r="U115" s="78" t="s">
        <v>1670</v>
      </c>
      <c r="V115" s="78"/>
      <c r="W115" s="81" t="s">
        <v>1674</v>
      </c>
      <c r="X115" s="81" t="s">
        <v>1674</v>
      </c>
      <c r="Y115" s="78" t="s">
        <v>1677</v>
      </c>
      <c r="Z115" s="78" t="s">
        <v>1709</v>
      </c>
      <c r="AA115" s="81" t="s">
        <v>1674</v>
      </c>
      <c r="AB115" s="79">
        <v>2</v>
      </c>
      <c r="AC115" s="80" t="str">
        <f>REPLACE(INDEX(GroupVertices[Group],MATCH("~"&amp;Edges[[#This Row],[Vertex 1]],GroupVertices[Vertex],0)),1,1,"")</f>
        <v>2</v>
      </c>
      <c r="AD115" s="80" t="str">
        <f>REPLACE(INDEX(GroupVertices[Group],MATCH("~"&amp;Edges[[#This Row],[Vertex 2]],GroupVertices[Vertex],0)),1,1,"")</f>
        <v>1</v>
      </c>
      <c r="AE115" s="105"/>
      <c r="AF115" s="105"/>
      <c r="AG115" s="105"/>
      <c r="AH115" s="105"/>
      <c r="AI115" s="105"/>
      <c r="AJ115" s="105"/>
      <c r="AK115" s="105"/>
      <c r="AL115" s="105"/>
      <c r="AM115" s="105"/>
    </row>
    <row r="116" spans="1:39" ht="15">
      <c r="A116" s="62" t="s">
        <v>241</v>
      </c>
      <c r="B116" s="62" t="s">
        <v>248</v>
      </c>
      <c r="C116" s="63" t="s">
        <v>3598</v>
      </c>
      <c r="D116" s="64">
        <v>5.2631578947368425</v>
      </c>
      <c r="E116" s="65" t="s">
        <v>136</v>
      </c>
      <c r="F116" s="66">
        <v>31.50943396226415</v>
      </c>
      <c r="G116" s="63"/>
      <c r="H116" s="67"/>
      <c r="I116" s="68"/>
      <c r="J116" s="68"/>
      <c r="K116" s="31" t="s">
        <v>65</v>
      </c>
      <c r="L116" s="76">
        <v>116</v>
      </c>
      <c r="M116" s="76"/>
      <c r="N116" s="70"/>
      <c r="O116" s="78" t="s">
        <v>305</v>
      </c>
      <c r="P116" s="78" t="s">
        <v>353</v>
      </c>
      <c r="Q116" s="78" t="s">
        <v>709</v>
      </c>
      <c r="R116" s="78" t="s">
        <v>1299</v>
      </c>
      <c r="S116" s="78"/>
      <c r="T116" s="78"/>
      <c r="U116" s="78"/>
      <c r="V116" s="78"/>
      <c r="W116" s="81" t="s">
        <v>1674</v>
      </c>
      <c r="X116" s="81" t="s">
        <v>1674</v>
      </c>
      <c r="Y116" s="78"/>
      <c r="Z116" s="78"/>
      <c r="AA116" s="81" t="s">
        <v>1674</v>
      </c>
      <c r="AB116" s="79">
        <v>2</v>
      </c>
      <c r="AC116" s="80" t="str">
        <f>REPLACE(INDEX(GroupVertices[Group],MATCH("~"&amp;Edges[[#This Row],[Vertex 1]],GroupVertices[Vertex],0)),1,1,"")</f>
        <v>2</v>
      </c>
      <c r="AD116" s="80" t="str">
        <f>REPLACE(INDEX(GroupVertices[Group],MATCH("~"&amp;Edges[[#This Row],[Vertex 2]],GroupVertices[Vertex],0)),1,1,"")</f>
        <v>1</v>
      </c>
      <c r="AE116" s="105"/>
      <c r="AF116" s="105"/>
      <c r="AG116" s="105"/>
      <c r="AH116" s="105"/>
      <c r="AI116" s="105"/>
      <c r="AJ116" s="105"/>
      <c r="AK116" s="105"/>
      <c r="AL116" s="105"/>
      <c r="AM116" s="105"/>
    </row>
    <row r="117" spans="1:39" ht="15">
      <c r="A117" s="62" t="s">
        <v>250</v>
      </c>
      <c r="B117" s="62" t="s">
        <v>248</v>
      </c>
      <c r="C117" s="63" t="s">
        <v>3598</v>
      </c>
      <c r="D117" s="64">
        <v>5</v>
      </c>
      <c r="E117" s="65" t="s">
        <v>132</v>
      </c>
      <c r="F117" s="66">
        <v>32</v>
      </c>
      <c r="G117" s="63"/>
      <c r="H117" s="67"/>
      <c r="I117" s="68"/>
      <c r="J117" s="68"/>
      <c r="K117" s="31" t="s">
        <v>65</v>
      </c>
      <c r="L117" s="76">
        <v>117</v>
      </c>
      <c r="M117" s="76"/>
      <c r="N117" s="70"/>
      <c r="O117" s="78" t="s">
        <v>305</v>
      </c>
      <c r="P117" s="78" t="s">
        <v>354</v>
      </c>
      <c r="Q117" s="78" t="s">
        <v>710</v>
      </c>
      <c r="R117" s="78" t="s">
        <v>1300</v>
      </c>
      <c r="S117" s="78"/>
      <c r="T117" s="78"/>
      <c r="U117" s="78"/>
      <c r="V117" s="78"/>
      <c r="W117" s="81" t="s">
        <v>1674</v>
      </c>
      <c r="X117" s="81" t="s">
        <v>1674</v>
      </c>
      <c r="Y117" s="78"/>
      <c r="Z117" s="78"/>
      <c r="AA117" s="81" t="s">
        <v>1674</v>
      </c>
      <c r="AB117" s="79">
        <v>1</v>
      </c>
      <c r="AC117" s="80" t="str">
        <f>REPLACE(INDEX(GroupVertices[Group],MATCH("~"&amp;Edges[[#This Row],[Vertex 1]],GroupVertices[Vertex],0)),1,1,"")</f>
        <v>1</v>
      </c>
      <c r="AD117" s="80" t="str">
        <f>REPLACE(INDEX(GroupVertices[Group],MATCH("~"&amp;Edges[[#This Row],[Vertex 2]],GroupVertices[Vertex],0)),1,1,"")</f>
        <v>1</v>
      </c>
      <c r="AE117" s="105"/>
      <c r="AF117" s="105"/>
      <c r="AG117" s="105"/>
      <c r="AH117" s="105"/>
      <c r="AI117" s="105"/>
      <c r="AJ117" s="105"/>
      <c r="AK117" s="105"/>
      <c r="AL117" s="105"/>
      <c r="AM117" s="105"/>
    </row>
    <row r="118" spans="1:39" ht="15">
      <c r="A118" s="62" t="s">
        <v>251</v>
      </c>
      <c r="B118" s="62" t="s">
        <v>248</v>
      </c>
      <c r="C118" s="63" t="s">
        <v>3603</v>
      </c>
      <c r="D118" s="64">
        <v>5.7894736842105265</v>
      </c>
      <c r="E118" s="65" t="s">
        <v>136</v>
      </c>
      <c r="F118" s="66">
        <v>30.528301886792452</v>
      </c>
      <c r="G118" s="63"/>
      <c r="H118" s="67"/>
      <c r="I118" s="68"/>
      <c r="J118" s="68"/>
      <c r="K118" s="31" t="s">
        <v>65</v>
      </c>
      <c r="L118" s="76">
        <v>118</v>
      </c>
      <c r="M118" s="76"/>
      <c r="N118" s="70"/>
      <c r="O118" s="78" t="s">
        <v>305</v>
      </c>
      <c r="P118" s="78" t="s">
        <v>355</v>
      </c>
      <c r="Q118" s="78" t="s">
        <v>711</v>
      </c>
      <c r="R118" s="78" t="s">
        <v>1301</v>
      </c>
      <c r="S118" s="78"/>
      <c r="T118" s="78"/>
      <c r="U118" s="78"/>
      <c r="V118" s="78"/>
      <c r="W118" s="81" t="s">
        <v>1674</v>
      </c>
      <c r="X118" s="81" t="s">
        <v>1674</v>
      </c>
      <c r="Y118" s="78"/>
      <c r="Z118" s="78"/>
      <c r="AA118" s="81" t="s">
        <v>1674</v>
      </c>
      <c r="AB118" s="79">
        <v>4</v>
      </c>
      <c r="AC118" s="80" t="str">
        <f>REPLACE(INDEX(GroupVertices[Group],MATCH("~"&amp;Edges[[#This Row],[Vertex 1]],GroupVertices[Vertex],0)),1,1,"")</f>
        <v>3</v>
      </c>
      <c r="AD118" s="80" t="str">
        <f>REPLACE(INDEX(GroupVertices[Group],MATCH("~"&amp;Edges[[#This Row],[Vertex 2]],GroupVertices[Vertex],0)),1,1,"")</f>
        <v>1</v>
      </c>
      <c r="AE118" s="105"/>
      <c r="AF118" s="105"/>
      <c r="AG118" s="105"/>
      <c r="AH118" s="105"/>
      <c r="AI118" s="105"/>
      <c r="AJ118" s="105"/>
      <c r="AK118" s="105"/>
      <c r="AL118" s="105"/>
      <c r="AM118" s="105"/>
    </row>
    <row r="119" spans="1:39" ht="15">
      <c r="A119" s="62" t="s">
        <v>251</v>
      </c>
      <c r="B119" s="62" t="s">
        <v>248</v>
      </c>
      <c r="C119" s="63" t="s">
        <v>3603</v>
      </c>
      <c r="D119" s="64">
        <v>5.7894736842105265</v>
      </c>
      <c r="E119" s="65" t="s">
        <v>136</v>
      </c>
      <c r="F119" s="66">
        <v>30.528301886792452</v>
      </c>
      <c r="G119" s="63"/>
      <c r="H119" s="67"/>
      <c r="I119" s="68"/>
      <c r="J119" s="68"/>
      <c r="K119" s="31" t="s">
        <v>65</v>
      </c>
      <c r="L119" s="76">
        <v>119</v>
      </c>
      <c r="M119" s="76"/>
      <c r="N119" s="70"/>
      <c r="O119" s="78" t="s">
        <v>305</v>
      </c>
      <c r="P119" s="78" t="s">
        <v>350</v>
      </c>
      <c r="Q119" s="78" t="s">
        <v>712</v>
      </c>
      <c r="R119" s="78" t="s">
        <v>705</v>
      </c>
      <c r="S119" s="78"/>
      <c r="T119" s="78"/>
      <c r="U119" s="78"/>
      <c r="V119" s="78"/>
      <c r="W119" s="81" t="s">
        <v>1674</v>
      </c>
      <c r="X119" s="81" t="s">
        <v>1674</v>
      </c>
      <c r="Y119" s="78"/>
      <c r="Z119" s="78"/>
      <c r="AA119" s="81" t="s">
        <v>1674</v>
      </c>
      <c r="AB119" s="79">
        <v>4</v>
      </c>
      <c r="AC119" s="80" t="str">
        <f>REPLACE(INDEX(GroupVertices[Group],MATCH("~"&amp;Edges[[#This Row],[Vertex 1]],GroupVertices[Vertex],0)),1,1,"")</f>
        <v>3</v>
      </c>
      <c r="AD119" s="80" t="str">
        <f>REPLACE(INDEX(GroupVertices[Group],MATCH("~"&amp;Edges[[#This Row],[Vertex 2]],GroupVertices[Vertex],0)),1,1,"")</f>
        <v>1</v>
      </c>
      <c r="AE119" s="105"/>
      <c r="AF119" s="105"/>
      <c r="AG119" s="105"/>
      <c r="AH119" s="105"/>
      <c r="AI119" s="105"/>
      <c r="AJ119" s="105"/>
      <c r="AK119" s="105"/>
      <c r="AL119" s="105"/>
      <c r="AM119" s="105"/>
    </row>
    <row r="120" spans="1:39" ht="15">
      <c r="A120" s="62" t="s">
        <v>251</v>
      </c>
      <c r="B120" s="62" t="s">
        <v>248</v>
      </c>
      <c r="C120" s="63" t="s">
        <v>3603</v>
      </c>
      <c r="D120" s="64">
        <v>5.7894736842105265</v>
      </c>
      <c r="E120" s="65" t="s">
        <v>136</v>
      </c>
      <c r="F120" s="66">
        <v>30.528301886792452</v>
      </c>
      <c r="G120" s="63"/>
      <c r="H120" s="67"/>
      <c r="I120" s="68"/>
      <c r="J120" s="68"/>
      <c r="K120" s="31" t="s">
        <v>65</v>
      </c>
      <c r="L120" s="76">
        <v>120</v>
      </c>
      <c r="M120" s="76"/>
      <c r="N120" s="70"/>
      <c r="O120" s="78" t="s">
        <v>305</v>
      </c>
      <c r="P120" s="78" t="s">
        <v>356</v>
      </c>
      <c r="Q120" s="78" t="s">
        <v>713</v>
      </c>
      <c r="R120" s="78" t="s">
        <v>1302</v>
      </c>
      <c r="S120" s="78"/>
      <c r="T120" s="78"/>
      <c r="U120" s="78"/>
      <c r="V120" s="78"/>
      <c r="W120" s="81" t="s">
        <v>1674</v>
      </c>
      <c r="X120" s="81" t="s">
        <v>1674</v>
      </c>
      <c r="Y120" s="78"/>
      <c r="Z120" s="78"/>
      <c r="AA120" s="81" t="s">
        <v>1674</v>
      </c>
      <c r="AB120" s="79">
        <v>4</v>
      </c>
      <c r="AC120" s="80" t="str">
        <f>REPLACE(INDEX(GroupVertices[Group],MATCH("~"&amp;Edges[[#This Row],[Vertex 1]],GroupVertices[Vertex],0)),1,1,"")</f>
        <v>3</v>
      </c>
      <c r="AD120" s="80" t="str">
        <f>REPLACE(INDEX(GroupVertices[Group],MATCH("~"&amp;Edges[[#This Row],[Vertex 2]],GroupVertices[Vertex],0)),1,1,"")</f>
        <v>1</v>
      </c>
      <c r="AE120" s="105"/>
      <c r="AF120" s="105"/>
      <c r="AG120" s="105"/>
      <c r="AH120" s="105"/>
      <c r="AI120" s="105"/>
      <c r="AJ120" s="105"/>
      <c r="AK120" s="105"/>
      <c r="AL120" s="105"/>
      <c r="AM120" s="105"/>
    </row>
    <row r="121" spans="1:39" ht="15">
      <c r="A121" s="62" t="s">
        <v>251</v>
      </c>
      <c r="B121" s="62" t="s">
        <v>248</v>
      </c>
      <c r="C121" s="63" t="s">
        <v>3603</v>
      </c>
      <c r="D121" s="64">
        <v>5.7894736842105265</v>
      </c>
      <c r="E121" s="65" t="s">
        <v>136</v>
      </c>
      <c r="F121" s="66">
        <v>30.528301886792452</v>
      </c>
      <c r="G121" s="63"/>
      <c r="H121" s="67"/>
      <c r="I121" s="68"/>
      <c r="J121" s="68"/>
      <c r="K121" s="31" t="s">
        <v>65</v>
      </c>
      <c r="L121" s="76">
        <v>121</v>
      </c>
      <c r="M121" s="76"/>
      <c r="N121" s="70"/>
      <c r="O121" s="78" t="s">
        <v>305</v>
      </c>
      <c r="P121" s="78" t="s">
        <v>355</v>
      </c>
      <c r="Q121" s="78" t="s">
        <v>711</v>
      </c>
      <c r="R121" s="78" t="s">
        <v>1301</v>
      </c>
      <c r="S121" s="78"/>
      <c r="T121" s="78"/>
      <c r="U121" s="78"/>
      <c r="V121" s="78"/>
      <c r="W121" s="81" t="s">
        <v>1674</v>
      </c>
      <c r="X121" s="81" t="s">
        <v>1674</v>
      </c>
      <c r="Y121" s="78"/>
      <c r="Z121" s="78"/>
      <c r="AA121" s="81" t="s">
        <v>1674</v>
      </c>
      <c r="AB121" s="79">
        <v>4</v>
      </c>
      <c r="AC121" s="80" t="str">
        <f>REPLACE(INDEX(GroupVertices[Group],MATCH("~"&amp;Edges[[#This Row],[Vertex 1]],GroupVertices[Vertex],0)),1,1,"")</f>
        <v>3</v>
      </c>
      <c r="AD121" s="80" t="str">
        <f>REPLACE(INDEX(GroupVertices[Group],MATCH("~"&amp;Edges[[#This Row],[Vertex 2]],GroupVertices[Vertex],0)),1,1,"")</f>
        <v>1</v>
      </c>
      <c r="AE121" s="105"/>
      <c r="AF121" s="105"/>
      <c r="AG121" s="105"/>
      <c r="AH121" s="105"/>
      <c r="AI121" s="105"/>
      <c r="AJ121" s="105"/>
      <c r="AK121" s="105"/>
      <c r="AL121" s="105"/>
      <c r="AM121" s="105"/>
    </row>
    <row r="122" spans="1:39" ht="15">
      <c r="A122" s="62" t="s">
        <v>243</v>
      </c>
      <c r="B122" s="62" t="s">
        <v>248</v>
      </c>
      <c r="C122" s="63" t="s">
        <v>3603</v>
      </c>
      <c r="D122" s="64">
        <v>5.7894736842105265</v>
      </c>
      <c r="E122" s="65" t="s">
        <v>136</v>
      </c>
      <c r="F122" s="66">
        <v>30.528301886792452</v>
      </c>
      <c r="G122" s="63"/>
      <c r="H122" s="67"/>
      <c r="I122" s="68"/>
      <c r="J122" s="68"/>
      <c r="K122" s="31" t="s">
        <v>65</v>
      </c>
      <c r="L122" s="76">
        <v>122</v>
      </c>
      <c r="M122" s="76"/>
      <c r="N122" s="70"/>
      <c r="O122" s="78" t="s">
        <v>305</v>
      </c>
      <c r="P122" s="78" t="s">
        <v>357</v>
      </c>
      <c r="Q122" s="78" t="s">
        <v>714</v>
      </c>
      <c r="R122" s="78" t="s">
        <v>1303</v>
      </c>
      <c r="S122" s="78"/>
      <c r="T122" s="78"/>
      <c r="U122" s="78"/>
      <c r="V122" s="78"/>
      <c r="W122" s="81" t="s">
        <v>1674</v>
      </c>
      <c r="X122" s="81" t="s">
        <v>1674</v>
      </c>
      <c r="Y122" s="78"/>
      <c r="Z122" s="78"/>
      <c r="AA122" s="81" t="s">
        <v>1674</v>
      </c>
      <c r="AB122" s="79">
        <v>4</v>
      </c>
      <c r="AC122" s="80" t="str">
        <f>REPLACE(INDEX(GroupVertices[Group],MATCH("~"&amp;Edges[[#This Row],[Vertex 1]],GroupVertices[Vertex],0)),1,1,"")</f>
        <v>5</v>
      </c>
      <c r="AD122" s="80" t="str">
        <f>REPLACE(INDEX(GroupVertices[Group],MATCH("~"&amp;Edges[[#This Row],[Vertex 2]],GroupVertices[Vertex],0)),1,1,"")</f>
        <v>1</v>
      </c>
      <c r="AE122" s="105"/>
      <c r="AF122" s="105"/>
      <c r="AG122" s="105"/>
      <c r="AH122" s="105"/>
      <c r="AI122" s="105"/>
      <c r="AJ122" s="105"/>
      <c r="AK122" s="105"/>
      <c r="AL122" s="105"/>
      <c r="AM122" s="105"/>
    </row>
    <row r="123" spans="1:39" ht="15">
      <c r="A123" s="62" t="s">
        <v>243</v>
      </c>
      <c r="B123" s="62" t="s">
        <v>248</v>
      </c>
      <c r="C123" s="63" t="s">
        <v>3603</v>
      </c>
      <c r="D123" s="64">
        <v>5.7894736842105265</v>
      </c>
      <c r="E123" s="65" t="s">
        <v>136</v>
      </c>
      <c r="F123" s="66">
        <v>30.528301886792452</v>
      </c>
      <c r="G123" s="63"/>
      <c r="H123" s="67"/>
      <c r="I123" s="68"/>
      <c r="J123" s="68"/>
      <c r="K123" s="31" t="s">
        <v>65</v>
      </c>
      <c r="L123" s="76">
        <v>123</v>
      </c>
      <c r="M123" s="76"/>
      <c r="N123" s="70"/>
      <c r="O123" s="78" t="s">
        <v>305</v>
      </c>
      <c r="P123" s="78" t="s">
        <v>357</v>
      </c>
      <c r="Q123" s="78" t="s">
        <v>715</v>
      </c>
      <c r="R123" s="78" t="s">
        <v>1303</v>
      </c>
      <c r="S123" s="78"/>
      <c r="T123" s="78"/>
      <c r="U123" s="78"/>
      <c r="V123" s="78"/>
      <c r="W123" s="81" t="s">
        <v>1674</v>
      </c>
      <c r="X123" s="81" t="s">
        <v>1674</v>
      </c>
      <c r="Y123" s="78"/>
      <c r="Z123" s="78"/>
      <c r="AA123" s="81" t="s">
        <v>1674</v>
      </c>
      <c r="AB123" s="79">
        <v>4</v>
      </c>
      <c r="AC123" s="80" t="str">
        <f>REPLACE(INDEX(GroupVertices[Group],MATCH("~"&amp;Edges[[#This Row],[Vertex 1]],GroupVertices[Vertex],0)),1,1,"")</f>
        <v>5</v>
      </c>
      <c r="AD123" s="80" t="str">
        <f>REPLACE(INDEX(GroupVertices[Group],MATCH("~"&amp;Edges[[#This Row],[Vertex 2]],GroupVertices[Vertex],0)),1,1,"")</f>
        <v>1</v>
      </c>
      <c r="AE123" s="105"/>
      <c r="AF123" s="105"/>
      <c r="AG123" s="105"/>
      <c r="AH123" s="105"/>
      <c r="AI123" s="105"/>
      <c r="AJ123" s="105"/>
      <c r="AK123" s="105"/>
      <c r="AL123" s="105"/>
      <c r="AM123" s="105"/>
    </row>
    <row r="124" spans="1:39" ht="15">
      <c r="A124" s="62" t="s">
        <v>243</v>
      </c>
      <c r="B124" s="62" t="s">
        <v>248</v>
      </c>
      <c r="C124" s="63" t="s">
        <v>3603</v>
      </c>
      <c r="D124" s="64">
        <v>5.7894736842105265</v>
      </c>
      <c r="E124" s="65" t="s">
        <v>136</v>
      </c>
      <c r="F124" s="66">
        <v>30.528301886792452</v>
      </c>
      <c r="G124" s="63"/>
      <c r="H124" s="67"/>
      <c r="I124" s="68"/>
      <c r="J124" s="68"/>
      <c r="K124" s="31" t="s">
        <v>65</v>
      </c>
      <c r="L124" s="76">
        <v>124</v>
      </c>
      <c r="M124" s="76"/>
      <c r="N124" s="70"/>
      <c r="O124" s="78" t="s">
        <v>305</v>
      </c>
      <c r="P124" s="78" t="s">
        <v>358</v>
      </c>
      <c r="Q124" s="78" t="s">
        <v>716</v>
      </c>
      <c r="R124" s="78" t="s">
        <v>1304</v>
      </c>
      <c r="S124" s="78"/>
      <c r="T124" s="78"/>
      <c r="U124" s="78"/>
      <c r="V124" s="78"/>
      <c r="W124" s="81" t="s">
        <v>1674</v>
      </c>
      <c r="X124" s="81" t="s">
        <v>1674</v>
      </c>
      <c r="Y124" s="78"/>
      <c r="Z124" s="78"/>
      <c r="AA124" s="81" t="s">
        <v>1674</v>
      </c>
      <c r="AB124" s="79">
        <v>4</v>
      </c>
      <c r="AC124" s="80" t="str">
        <f>REPLACE(INDEX(GroupVertices[Group],MATCH("~"&amp;Edges[[#This Row],[Vertex 1]],GroupVertices[Vertex],0)),1,1,"")</f>
        <v>5</v>
      </c>
      <c r="AD124" s="80" t="str">
        <f>REPLACE(INDEX(GroupVertices[Group],MATCH("~"&amp;Edges[[#This Row],[Vertex 2]],GroupVertices[Vertex],0)),1,1,"")</f>
        <v>1</v>
      </c>
      <c r="AE124" s="105"/>
      <c r="AF124" s="105"/>
      <c r="AG124" s="105"/>
      <c r="AH124" s="105"/>
      <c r="AI124" s="105"/>
      <c r="AJ124" s="105"/>
      <c r="AK124" s="105"/>
      <c r="AL124" s="105"/>
      <c r="AM124" s="105"/>
    </row>
    <row r="125" spans="1:39" ht="15">
      <c r="A125" s="62" t="s">
        <v>243</v>
      </c>
      <c r="B125" s="62" t="s">
        <v>248</v>
      </c>
      <c r="C125" s="63" t="s">
        <v>3603</v>
      </c>
      <c r="D125" s="64">
        <v>5.7894736842105265</v>
      </c>
      <c r="E125" s="65" t="s">
        <v>136</v>
      </c>
      <c r="F125" s="66">
        <v>30.528301886792452</v>
      </c>
      <c r="G125" s="63"/>
      <c r="H125" s="67"/>
      <c r="I125" s="68"/>
      <c r="J125" s="68"/>
      <c r="K125" s="31" t="s">
        <v>65</v>
      </c>
      <c r="L125" s="76">
        <v>125</v>
      </c>
      <c r="M125" s="76"/>
      <c r="N125" s="70"/>
      <c r="O125" s="78" t="s">
        <v>305</v>
      </c>
      <c r="P125" s="78" t="s">
        <v>358</v>
      </c>
      <c r="Q125" s="78" t="s">
        <v>716</v>
      </c>
      <c r="R125" s="78" t="s">
        <v>1305</v>
      </c>
      <c r="S125" s="78"/>
      <c r="T125" s="78"/>
      <c r="U125" s="78"/>
      <c r="V125" s="78"/>
      <c r="W125" s="81" t="s">
        <v>1674</v>
      </c>
      <c r="X125" s="81" t="s">
        <v>1674</v>
      </c>
      <c r="Y125" s="78"/>
      <c r="Z125" s="78"/>
      <c r="AA125" s="81" t="s">
        <v>1674</v>
      </c>
      <c r="AB125" s="79">
        <v>4</v>
      </c>
      <c r="AC125" s="80" t="str">
        <f>REPLACE(INDEX(GroupVertices[Group],MATCH("~"&amp;Edges[[#This Row],[Vertex 1]],GroupVertices[Vertex],0)),1,1,"")</f>
        <v>5</v>
      </c>
      <c r="AD125" s="80" t="str">
        <f>REPLACE(INDEX(GroupVertices[Group],MATCH("~"&amp;Edges[[#This Row],[Vertex 2]],GroupVertices[Vertex],0)),1,1,"")</f>
        <v>1</v>
      </c>
      <c r="AE125" s="105"/>
      <c r="AF125" s="105"/>
      <c r="AG125" s="105"/>
      <c r="AH125" s="105"/>
      <c r="AI125" s="105"/>
      <c r="AJ125" s="105"/>
      <c r="AK125" s="105"/>
      <c r="AL125" s="105"/>
      <c r="AM125" s="105"/>
    </row>
    <row r="126" spans="1:39" ht="15">
      <c r="A126" s="62" t="s">
        <v>252</v>
      </c>
      <c r="B126" s="62" t="s">
        <v>248</v>
      </c>
      <c r="C126" s="63" t="s">
        <v>3598</v>
      </c>
      <c r="D126" s="64">
        <v>5</v>
      </c>
      <c r="E126" s="65" t="s">
        <v>132</v>
      </c>
      <c r="F126" s="66">
        <v>32</v>
      </c>
      <c r="G126" s="63"/>
      <c r="H126" s="67"/>
      <c r="I126" s="68"/>
      <c r="J126" s="68"/>
      <c r="K126" s="31" t="s">
        <v>65</v>
      </c>
      <c r="L126" s="76">
        <v>126</v>
      </c>
      <c r="M126" s="76"/>
      <c r="N126" s="70"/>
      <c r="O126" s="78" t="s">
        <v>305</v>
      </c>
      <c r="P126" s="78" t="s">
        <v>359</v>
      </c>
      <c r="Q126" s="78" t="s">
        <v>717</v>
      </c>
      <c r="R126" s="78" t="s">
        <v>1306</v>
      </c>
      <c r="S126" s="78"/>
      <c r="T126" s="78"/>
      <c r="U126" s="78"/>
      <c r="V126" s="78"/>
      <c r="W126" s="81" t="s">
        <v>1674</v>
      </c>
      <c r="X126" s="81" t="s">
        <v>1674</v>
      </c>
      <c r="Y126" s="78"/>
      <c r="Z126" s="78"/>
      <c r="AA126" s="81" t="s">
        <v>1674</v>
      </c>
      <c r="AB126" s="79">
        <v>1</v>
      </c>
      <c r="AC126" s="80" t="str">
        <f>REPLACE(INDEX(GroupVertices[Group],MATCH("~"&amp;Edges[[#This Row],[Vertex 1]],GroupVertices[Vertex],0)),1,1,"")</f>
        <v>1</v>
      </c>
      <c r="AD126" s="80" t="str">
        <f>REPLACE(INDEX(GroupVertices[Group],MATCH("~"&amp;Edges[[#This Row],[Vertex 2]],GroupVertices[Vertex],0)),1,1,"")</f>
        <v>1</v>
      </c>
      <c r="AE126" s="105"/>
      <c r="AF126" s="105"/>
      <c r="AG126" s="105"/>
      <c r="AH126" s="105"/>
      <c r="AI126" s="105"/>
      <c r="AJ126" s="105"/>
      <c r="AK126" s="105"/>
      <c r="AL126" s="105"/>
      <c r="AM126" s="105"/>
    </row>
    <row r="127" spans="1:39" ht="15">
      <c r="A127" s="62" t="s">
        <v>253</v>
      </c>
      <c r="B127" s="62" t="s">
        <v>248</v>
      </c>
      <c r="C127" s="63" t="s">
        <v>3603</v>
      </c>
      <c r="D127" s="64">
        <v>5.7894736842105265</v>
      </c>
      <c r="E127" s="65" t="s">
        <v>136</v>
      </c>
      <c r="F127" s="66">
        <v>30.528301886792452</v>
      </c>
      <c r="G127" s="63"/>
      <c r="H127" s="67"/>
      <c r="I127" s="68"/>
      <c r="J127" s="68"/>
      <c r="K127" s="31" t="s">
        <v>65</v>
      </c>
      <c r="L127" s="76">
        <v>127</v>
      </c>
      <c r="M127" s="76"/>
      <c r="N127" s="70"/>
      <c r="O127" s="78" t="s">
        <v>305</v>
      </c>
      <c r="P127" s="78" t="s">
        <v>334</v>
      </c>
      <c r="Q127" s="78" t="s">
        <v>718</v>
      </c>
      <c r="R127" s="78" t="s">
        <v>1278</v>
      </c>
      <c r="S127" s="78"/>
      <c r="T127" s="78"/>
      <c r="U127" s="78"/>
      <c r="V127" s="78"/>
      <c r="W127" s="81" t="s">
        <v>1674</v>
      </c>
      <c r="X127" s="81" t="s">
        <v>1674</v>
      </c>
      <c r="Y127" s="78"/>
      <c r="Z127" s="78"/>
      <c r="AA127" s="81" t="s">
        <v>1674</v>
      </c>
      <c r="AB127" s="79">
        <v>4</v>
      </c>
      <c r="AC127" s="80" t="str">
        <f>REPLACE(INDEX(GroupVertices[Group],MATCH("~"&amp;Edges[[#This Row],[Vertex 1]],GroupVertices[Vertex],0)),1,1,"")</f>
        <v>1</v>
      </c>
      <c r="AD127" s="80" t="str">
        <f>REPLACE(INDEX(GroupVertices[Group],MATCH("~"&amp;Edges[[#This Row],[Vertex 2]],GroupVertices[Vertex],0)),1,1,"")</f>
        <v>1</v>
      </c>
      <c r="AE127" s="105"/>
      <c r="AF127" s="105"/>
      <c r="AG127" s="105"/>
      <c r="AH127" s="105"/>
      <c r="AI127" s="105"/>
      <c r="AJ127" s="105"/>
      <c r="AK127" s="105"/>
      <c r="AL127" s="105"/>
      <c r="AM127" s="105"/>
    </row>
    <row r="128" spans="1:39" ht="15">
      <c r="A128" s="62" t="s">
        <v>253</v>
      </c>
      <c r="B128" s="62" t="s">
        <v>248</v>
      </c>
      <c r="C128" s="63" t="s">
        <v>3603</v>
      </c>
      <c r="D128" s="64">
        <v>5.7894736842105265</v>
      </c>
      <c r="E128" s="65" t="s">
        <v>136</v>
      </c>
      <c r="F128" s="66">
        <v>30.528301886792452</v>
      </c>
      <c r="G128" s="63"/>
      <c r="H128" s="67"/>
      <c r="I128" s="68"/>
      <c r="J128" s="68"/>
      <c r="K128" s="31" t="s">
        <v>65</v>
      </c>
      <c r="L128" s="76">
        <v>128</v>
      </c>
      <c r="M128" s="76"/>
      <c r="N128" s="70"/>
      <c r="O128" s="78" t="s">
        <v>305</v>
      </c>
      <c r="P128" s="78" t="s">
        <v>355</v>
      </c>
      <c r="Q128" s="78" t="s">
        <v>719</v>
      </c>
      <c r="R128" s="78" t="s">
        <v>1301</v>
      </c>
      <c r="S128" s="78"/>
      <c r="T128" s="78"/>
      <c r="U128" s="78"/>
      <c r="V128" s="78"/>
      <c r="W128" s="81" t="s">
        <v>1674</v>
      </c>
      <c r="X128" s="81" t="s">
        <v>1674</v>
      </c>
      <c r="Y128" s="78"/>
      <c r="Z128" s="78"/>
      <c r="AA128" s="81" t="s">
        <v>1674</v>
      </c>
      <c r="AB128" s="79">
        <v>4</v>
      </c>
      <c r="AC128" s="80" t="str">
        <f>REPLACE(INDEX(GroupVertices[Group],MATCH("~"&amp;Edges[[#This Row],[Vertex 1]],GroupVertices[Vertex],0)),1,1,"")</f>
        <v>1</v>
      </c>
      <c r="AD128" s="80" t="str">
        <f>REPLACE(INDEX(GroupVertices[Group],MATCH("~"&amp;Edges[[#This Row],[Vertex 2]],GroupVertices[Vertex],0)),1,1,"")</f>
        <v>1</v>
      </c>
      <c r="AE128" s="105"/>
      <c r="AF128" s="105"/>
      <c r="AG128" s="105"/>
      <c r="AH128" s="105"/>
      <c r="AI128" s="105"/>
      <c r="AJ128" s="105"/>
      <c r="AK128" s="105"/>
      <c r="AL128" s="105"/>
      <c r="AM128" s="105"/>
    </row>
    <row r="129" spans="1:39" ht="15">
      <c r="A129" s="62" t="s">
        <v>253</v>
      </c>
      <c r="B129" s="62" t="s">
        <v>248</v>
      </c>
      <c r="C129" s="63" t="s">
        <v>3603</v>
      </c>
      <c r="D129" s="64">
        <v>5.7894736842105265</v>
      </c>
      <c r="E129" s="65" t="s">
        <v>136</v>
      </c>
      <c r="F129" s="66">
        <v>30.528301886792452</v>
      </c>
      <c r="G129" s="63"/>
      <c r="H129" s="67"/>
      <c r="I129" s="68"/>
      <c r="J129" s="68"/>
      <c r="K129" s="31" t="s">
        <v>65</v>
      </c>
      <c r="L129" s="76">
        <v>129</v>
      </c>
      <c r="M129" s="76"/>
      <c r="N129" s="70"/>
      <c r="O129" s="78" t="s">
        <v>305</v>
      </c>
      <c r="P129" s="78" t="s">
        <v>355</v>
      </c>
      <c r="Q129" s="78" t="s">
        <v>720</v>
      </c>
      <c r="R129" s="78" t="s">
        <v>1301</v>
      </c>
      <c r="S129" s="78"/>
      <c r="T129" s="78"/>
      <c r="U129" s="78"/>
      <c r="V129" s="78"/>
      <c r="W129" s="81" t="s">
        <v>1674</v>
      </c>
      <c r="X129" s="81" t="s">
        <v>1674</v>
      </c>
      <c r="Y129" s="78"/>
      <c r="Z129" s="78"/>
      <c r="AA129" s="81" t="s">
        <v>1674</v>
      </c>
      <c r="AB129" s="79">
        <v>4</v>
      </c>
      <c r="AC129" s="80" t="str">
        <f>REPLACE(INDEX(GroupVertices[Group],MATCH("~"&amp;Edges[[#This Row],[Vertex 1]],GroupVertices[Vertex],0)),1,1,"")</f>
        <v>1</v>
      </c>
      <c r="AD129" s="80" t="str">
        <f>REPLACE(INDEX(GroupVertices[Group],MATCH("~"&amp;Edges[[#This Row],[Vertex 2]],GroupVertices[Vertex],0)),1,1,"")</f>
        <v>1</v>
      </c>
      <c r="AE129" s="105"/>
      <c r="AF129" s="105"/>
      <c r="AG129" s="105"/>
      <c r="AH129" s="105"/>
      <c r="AI129" s="105"/>
      <c r="AJ129" s="105"/>
      <c r="AK129" s="105"/>
      <c r="AL129" s="105"/>
      <c r="AM129" s="105"/>
    </row>
    <row r="130" spans="1:39" ht="15">
      <c r="A130" s="62" t="s">
        <v>253</v>
      </c>
      <c r="B130" s="62" t="s">
        <v>248</v>
      </c>
      <c r="C130" s="63" t="s">
        <v>3603</v>
      </c>
      <c r="D130" s="64">
        <v>5.7894736842105265</v>
      </c>
      <c r="E130" s="65" t="s">
        <v>136</v>
      </c>
      <c r="F130" s="66">
        <v>30.528301886792452</v>
      </c>
      <c r="G130" s="63"/>
      <c r="H130" s="67"/>
      <c r="I130" s="68"/>
      <c r="J130" s="68"/>
      <c r="K130" s="31" t="s">
        <v>65</v>
      </c>
      <c r="L130" s="76">
        <v>130</v>
      </c>
      <c r="M130" s="76"/>
      <c r="N130" s="70"/>
      <c r="O130" s="78" t="s">
        <v>305</v>
      </c>
      <c r="P130" s="78" t="s">
        <v>355</v>
      </c>
      <c r="Q130" s="78" t="s">
        <v>721</v>
      </c>
      <c r="R130" s="78" t="s">
        <v>1301</v>
      </c>
      <c r="S130" s="78"/>
      <c r="T130" s="78"/>
      <c r="U130" s="78"/>
      <c r="V130" s="78"/>
      <c r="W130" s="81" t="s">
        <v>1674</v>
      </c>
      <c r="X130" s="81" t="s">
        <v>1674</v>
      </c>
      <c r="Y130" s="78"/>
      <c r="Z130" s="78"/>
      <c r="AA130" s="81" t="s">
        <v>1674</v>
      </c>
      <c r="AB130" s="79">
        <v>4</v>
      </c>
      <c r="AC130" s="80" t="str">
        <f>REPLACE(INDEX(GroupVertices[Group],MATCH("~"&amp;Edges[[#This Row],[Vertex 1]],GroupVertices[Vertex],0)),1,1,"")</f>
        <v>1</v>
      </c>
      <c r="AD130" s="80" t="str">
        <f>REPLACE(INDEX(GroupVertices[Group],MATCH("~"&amp;Edges[[#This Row],[Vertex 2]],GroupVertices[Vertex],0)),1,1,"")</f>
        <v>1</v>
      </c>
      <c r="AE130" s="105"/>
      <c r="AF130" s="105"/>
      <c r="AG130" s="105"/>
      <c r="AH130" s="105"/>
      <c r="AI130" s="105"/>
      <c r="AJ130" s="105"/>
      <c r="AK130" s="105"/>
      <c r="AL130" s="105"/>
      <c r="AM130" s="105"/>
    </row>
    <row r="131" spans="1:39" ht="15">
      <c r="A131" s="62" t="s">
        <v>245</v>
      </c>
      <c r="B131" s="62" t="s">
        <v>248</v>
      </c>
      <c r="C131" s="63" t="s">
        <v>3597</v>
      </c>
      <c r="D131" s="64">
        <v>6.578947368421053</v>
      </c>
      <c r="E131" s="65" t="s">
        <v>136</v>
      </c>
      <c r="F131" s="66">
        <v>29.056603773584907</v>
      </c>
      <c r="G131" s="63"/>
      <c r="H131" s="67"/>
      <c r="I131" s="68"/>
      <c r="J131" s="68"/>
      <c r="K131" s="31" t="s">
        <v>65</v>
      </c>
      <c r="L131" s="76">
        <v>131</v>
      </c>
      <c r="M131" s="76"/>
      <c r="N131" s="70"/>
      <c r="O131" s="78" t="s">
        <v>305</v>
      </c>
      <c r="P131" s="78" t="s">
        <v>360</v>
      </c>
      <c r="Q131" s="78" t="s">
        <v>722</v>
      </c>
      <c r="R131" s="78" t="s">
        <v>1307</v>
      </c>
      <c r="S131" s="78"/>
      <c r="T131" s="78"/>
      <c r="U131" s="78"/>
      <c r="V131" s="78"/>
      <c r="W131" s="81" t="s">
        <v>1674</v>
      </c>
      <c r="X131" s="81" t="s">
        <v>1674</v>
      </c>
      <c r="Y131" s="78"/>
      <c r="Z131" s="78"/>
      <c r="AA131" s="81" t="s">
        <v>1674</v>
      </c>
      <c r="AB131" s="79">
        <v>7</v>
      </c>
      <c r="AC131" s="80" t="str">
        <f>REPLACE(INDEX(GroupVertices[Group],MATCH("~"&amp;Edges[[#This Row],[Vertex 1]],GroupVertices[Vertex],0)),1,1,"")</f>
        <v>1</v>
      </c>
      <c r="AD131" s="80" t="str">
        <f>REPLACE(INDEX(GroupVertices[Group],MATCH("~"&amp;Edges[[#This Row],[Vertex 2]],GroupVertices[Vertex],0)),1,1,"")</f>
        <v>1</v>
      </c>
      <c r="AE131" s="105"/>
      <c r="AF131" s="105"/>
      <c r="AG131" s="105"/>
      <c r="AH131" s="105"/>
      <c r="AI131" s="105"/>
      <c r="AJ131" s="105"/>
      <c r="AK131" s="105"/>
      <c r="AL131" s="105"/>
      <c r="AM131" s="105"/>
    </row>
    <row r="132" spans="1:39" ht="15">
      <c r="A132" s="62" t="s">
        <v>245</v>
      </c>
      <c r="B132" s="62" t="s">
        <v>248</v>
      </c>
      <c r="C132" s="63" t="s">
        <v>3597</v>
      </c>
      <c r="D132" s="64">
        <v>6.578947368421053</v>
      </c>
      <c r="E132" s="65" t="s">
        <v>136</v>
      </c>
      <c r="F132" s="66">
        <v>29.056603773584907</v>
      </c>
      <c r="G132" s="63"/>
      <c r="H132" s="67"/>
      <c r="I132" s="68"/>
      <c r="J132" s="68"/>
      <c r="K132" s="31" t="s">
        <v>65</v>
      </c>
      <c r="L132" s="76">
        <v>132</v>
      </c>
      <c r="M132" s="76"/>
      <c r="N132" s="70"/>
      <c r="O132" s="78" t="s">
        <v>305</v>
      </c>
      <c r="P132" s="78" t="s">
        <v>360</v>
      </c>
      <c r="Q132" s="78" t="s">
        <v>722</v>
      </c>
      <c r="R132" s="78" t="s">
        <v>1308</v>
      </c>
      <c r="S132" s="78"/>
      <c r="T132" s="78"/>
      <c r="U132" s="78"/>
      <c r="V132" s="78"/>
      <c r="W132" s="81" t="s">
        <v>1674</v>
      </c>
      <c r="X132" s="81" t="s">
        <v>1674</v>
      </c>
      <c r="Y132" s="78"/>
      <c r="Z132" s="78"/>
      <c r="AA132" s="81" t="s">
        <v>1674</v>
      </c>
      <c r="AB132" s="79">
        <v>7</v>
      </c>
      <c r="AC132" s="80" t="str">
        <f>REPLACE(INDEX(GroupVertices[Group],MATCH("~"&amp;Edges[[#This Row],[Vertex 1]],GroupVertices[Vertex],0)),1,1,"")</f>
        <v>1</v>
      </c>
      <c r="AD132" s="80" t="str">
        <f>REPLACE(INDEX(GroupVertices[Group],MATCH("~"&amp;Edges[[#This Row],[Vertex 2]],GroupVertices[Vertex],0)),1,1,"")</f>
        <v>1</v>
      </c>
      <c r="AE132" s="105"/>
      <c r="AF132" s="105"/>
      <c r="AG132" s="105"/>
      <c r="AH132" s="105"/>
      <c r="AI132" s="105"/>
      <c r="AJ132" s="105"/>
      <c r="AK132" s="105"/>
      <c r="AL132" s="105"/>
      <c r="AM132" s="105"/>
    </row>
    <row r="133" spans="1:39" ht="15">
      <c r="A133" s="62" t="s">
        <v>245</v>
      </c>
      <c r="B133" s="62" t="s">
        <v>248</v>
      </c>
      <c r="C133" s="63" t="s">
        <v>3597</v>
      </c>
      <c r="D133" s="64">
        <v>6.578947368421053</v>
      </c>
      <c r="E133" s="65" t="s">
        <v>136</v>
      </c>
      <c r="F133" s="66">
        <v>29.056603773584907</v>
      </c>
      <c r="G133" s="63"/>
      <c r="H133" s="67"/>
      <c r="I133" s="68"/>
      <c r="J133" s="68"/>
      <c r="K133" s="31" t="s">
        <v>65</v>
      </c>
      <c r="L133" s="76">
        <v>133</v>
      </c>
      <c r="M133" s="76"/>
      <c r="N133" s="70"/>
      <c r="O133" s="78" t="s">
        <v>305</v>
      </c>
      <c r="P133" s="78" t="s">
        <v>360</v>
      </c>
      <c r="Q133" s="78" t="s">
        <v>722</v>
      </c>
      <c r="R133" s="78" t="s">
        <v>1309</v>
      </c>
      <c r="S133" s="78"/>
      <c r="T133" s="78"/>
      <c r="U133" s="78"/>
      <c r="V133" s="78"/>
      <c r="W133" s="81" t="s">
        <v>1674</v>
      </c>
      <c r="X133" s="81" t="s">
        <v>1674</v>
      </c>
      <c r="Y133" s="78"/>
      <c r="Z133" s="78"/>
      <c r="AA133" s="81" t="s">
        <v>1674</v>
      </c>
      <c r="AB133" s="79">
        <v>7</v>
      </c>
      <c r="AC133" s="80" t="str">
        <f>REPLACE(INDEX(GroupVertices[Group],MATCH("~"&amp;Edges[[#This Row],[Vertex 1]],GroupVertices[Vertex],0)),1,1,"")</f>
        <v>1</v>
      </c>
      <c r="AD133" s="80" t="str">
        <f>REPLACE(INDEX(GroupVertices[Group],MATCH("~"&amp;Edges[[#This Row],[Vertex 2]],GroupVertices[Vertex],0)),1,1,"")</f>
        <v>1</v>
      </c>
      <c r="AE133" s="105"/>
      <c r="AF133" s="105"/>
      <c r="AG133" s="105"/>
      <c r="AH133" s="105"/>
      <c r="AI133" s="105"/>
      <c r="AJ133" s="105"/>
      <c r="AK133" s="105"/>
      <c r="AL133" s="105"/>
      <c r="AM133" s="105"/>
    </row>
    <row r="134" spans="1:39" ht="15">
      <c r="A134" s="62" t="s">
        <v>245</v>
      </c>
      <c r="B134" s="62" t="s">
        <v>248</v>
      </c>
      <c r="C134" s="63" t="s">
        <v>3597</v>
      </c>
      <c r="D134" s="64">
        <v>6.578947368421053</v>
      </c>
      <c r="E134" s="65" t="s">
        <v>136</v>
      </c>
      <c r="F134" s="66">
        <v>29.056603773584907</v>
      </c>
      <c r="G134" s="63"/>
      <c r="H134" s="67"/>
      <c r="I134" s="68"/>
      <c r="J134" s="68"/>
      <c r="K134" s="31" t="s">
        <v>65</v>
      </c>
      <c r="L134" s="76">
        <v>134</v>
      </c>
      <c r="M134" s="76"/>
      <c r="N134" s="70"/>
      <c r="O134" s="78" t="s">
        <v>305</v>
      </c>
      <c r="P134" s="78" t="s">
        <v>360</v>
      </c>
      <c r="Q134" s="78" t="s">
        <v>722</v>
      </c>
      <c r="R134" s="78" t="s">
        <v>1310</v>
      </c>
      <c r="S134" s="78"/>
      <c r="T134" s="78"/>
      <c r="U134" s="78"/>
      <c r="V134" s="78"/>
      <c r="W134" s="81" t="s">
        <v>1674</v>
      </c>
      <c r="X134" s="81" t="s">
        <v>1674</v>
      </c>
      <c r="Y134" s="78"/>
      <c r="Z134" s="78"/>
      <c r="AA134" s="81" t="s">
        <v>1674</v>
      </c>
      <c r="AB134" s="79">
        <v>7</v>
      </c>
      <c r="AC134" s="80" t="str">
        <f>REPLACE(INDEX(GroupVertices[Group],MATCH("~"&amp;Edges[[#This Row],[Vertex 1]],GroupVertices[Vertex],0)),1,1,"")</f>
        <v>1</v>
      </c>
      <c r="AD134" s="80" t="str">
        <f>REPLACE(INDEX(GroupVertices[Group],MATCH("~"&amp;Edges[[#This Row],[Vertex 2]],GroupVertices[Vertex],0)),1,1,"")</f>
        <v>1</v>
      </c>
      <c r="AE134" s="105"/>
      <c r="AF134" s="105"/>
      <c r="AG134" s="105"/>
      <c r="AH134" s="105"/>
      <c r="AI134" s="105"/>
      <c r="AJ134" s="105"/>
      <c r="AK134" s="105"/>
      <c r="AL134" s="105"/>
      <c r="AM134" s="105"/>
    </row>
    <row r="135" spans="1:39" ht="15">
      <c r="A135" s="62" t="s">
        <v>245</v>
      </c>
      <c r="B135" s="62" t="s">
        <v>248</v>
      </c>
      <c r="C135" s="63" t="s">
        <v>3597</v>
      </c>
      <c r="D135" s="64">
        <v>6.578947368421053</v>
      </c>
      <c r="E135" s="65" t="s">
        <v>136</v>
      </c>
      <c r="F135" s="66">
        <v>29.056603773584907</v>
      </c>
      <c r="G135" s="63"/>
      <c r="H135" s="67"/>
      <c r="I135" s="68"/>
      <c r="J135" s="68"/>
      <c r="K135" s="31" t="s">
        <v>65</v>
      </c>
      <c r="L135" s="76">
        <v>135</v>
      </c>
      <c r="M135" s="76"/>
      <c r="N135" s="70"/>
      <c r="O135" s="78" t="s">
        <v>305</v>
      </c>
      <c r="P135" s="78" t="s">
        <v>361</v>
      </c>
      <c r="Q135" s="78" t="s">
        <v>723</v>
      </c>
      <c r="R135" s="78" t="s">
        <v>1311</v>
      </c>
      <c r="S135" s="78"/>
      <c r="T135" s="78"/>
      <c r="U135" s="78"/>
      <c r="V135" s="78"/>
      <c r="W135" s="81" t="s">
        <v>1674</v>
      </c>
      <c r="X135" s="81" t="s">
        <v>1674</v>
      </c>
      <c r="Y135" s="78"/>
      <c r="Z135" s="78"/>
      <c r="AA135" s="81" t="s">
        <v>1674</v>
      </c>
      <c r="AB135" s="79">
        <v>7</v>
      </c>
      <c r="AC135" s="80" t="str">
        <f>REPLACE(INDEX(GroupVertices[Group],MATCH("~"&amp;Edges[[#This Row],[Vertex 1]],GroupVertices[Vertex],0)),1,1,"")</f>
        <v>1</v>
      </c>
      <c r="AD135" s="80" t="str">
        <f>REPLACE(INDEX(GroupVertices[Group],MATCH("~"&amp;Edges[[#This Row],[Vertex 2]],GroupVertices[Vertex],0)),1,1,"")</f>
        <v>1</v>
      </c>
      <c r="AE135" s="105"/>
      <c r="AF135" s="105"/>
      <c r="AG135" s="105"/>
      <c r="AH135" s="105"/>
      <c r="AI135" s="105"/>
      <c r="AJ135" s="105"/>
      <c r="AK135" s="105"/>
      <c r="AL135" s="105"/>
      <c r="AM135" s="105"/>
    </row>
    <row r="136" spans="1:39" ht="15">
      <c r="A136" s="62" t="s">
        <v>245</v>
      </c>
      <c r="B136" s="62" t="s">
        <v>248</v>
      </c>
      <c r="C136" s="63" t="s">
        <v>3597</v>
      </c>
      <c r="D136" s="64">
        <v>6.578947368421053</v>
      </c>
      <c r="E136" s="65" t="s">
        <v>136</v>
      </c>
      <c r="F136" s="66">
        <v>29.056603773584907</v>
      </c>
      <c r="G136" s="63"/>
      <c r="H136" s="67"/>
      <c r="I136" s="68"/>
      <c r="J136" s="68"/>
      <c r="K136" s="31" t="s">
        <v>65</v>
      </c>
      <c r="L136" s="76">
        <v>136</v>
      </c>
      <c r="M136" s="76"/>
      <c r="N136" s="70"/>
      <c r="O136" s="78" t="s">
        <v>305</v>
      </c>
      <c r="P136" s="78" t="s">
        <v>352</v>
      </c>
      <c r="Q136" s="78" t="s">
        <v>724</v>
      </c>
      <c r="R136" s="78" t="s">
        <v>1298</v>
      </c>
      <c r="S136" s="78"/>
      <c r="T136" s="78"/>
      <c r="U136" s="78"/>
      <c r="V136" s="78"/>
      <c r="W136" s="81" t="s">
        <v>1674</v>
      </c>
      <c r="X136" s="81" t="s">
        <v>1674</v>
      </c>
      <c r="Y136" s="78"/>
      <c r="Z136" s="78"/>
      <c r="AA136" s="81" t="s">
        <v>1674</v>
      </c>
      <c r="AB136" s="79">
        <v>7</v>
      </c>
      <c r="AC136" s="80" t="str">
        <f>REPLACE(INDEX(GroupVertices[Group],MATCH("~"&amp;Edges[[#This Row],[Vertex 1]],GroupVertices[Vertex],0)),1,1,"")</f>
        <v>1</v>
      </c>
      <c r="AD136" s="80" t="str">
        <f>REPLACE(INDEX(GroupVertices[Group],MATCH("~"&amp;Edges[[#This Row],[Vertex 2]],GroupVertices[Vertex],0)),1,1,"")</f>
        <v>1</v>
      </c>
      <c r="AE136" s="105"/>
      <c r="AF136" s="105"/>
      <c r="AG136" s="105"/>
      <c r="AH136" s="105"/>
      <c r="AI136" s="105"/>
      <c r="AJ136" s="105"/>
      <c r="AK136" s="105"/>
      <c r="AL136" s="105"/>
      <c r="AM136" s="105"/>
    </row>
    <row r="137" spans="1:39" ht="15">
      <c r="A137" s="62" t="s">
        <v>245</v>
      </c>
      <c r="B137" s="62" t="s">
        <v>248</v>
      </c>
      <c r="C137" s="63" t="s">
        <v>3597</v>
      </c>
      <c r="D137" s="64">
        <v>6.578947368421053</v>
      </c>
      <c r="E137" s="65" t="s">
        <v>136</v>
      </c>
      <c r="F137" s="66">
        <v>29.056603773584907</v>
      </c>
      <c r="G137" s="63"/>
      <c r="H137" s="67"/>
      <c r="I137" s="68"/>
      <c r="J137" s="68"/>
      <c r="K137" s="31" t="s">
        <v>65</v>
      </c>
      <c r="L137" s="76">
        <v>137</v>
      </c>
      <c r="M137" s="76"/>
      <c r="N137" s="70"/>
      <c r="O137" s="78" t="s">
        <v>305</v>
      </c>
      <c r="P137" s="78" t="s">
        <v>362</v>
      </c>
      <c r="Q137" s="78" t="s">
        <v>725</v>
      </c>
      <c r="R137" s="78" t="s">
        <v>1312</v>
      </c>
      <c r="S137" s="78"/>
      <c r="T137" s="78"/>
      <c r="U137" s="78"/>
      <c r="V137" s="78"/>
      <c r="W137" s="81" t="s">
        <v>1674</v>
      </c>
      <c r="X137" s="81" t="s">
        <v>1674</v>
      </c>
      <c r="Y137" s="78"/>
      <c r="Z137" s="78"/>
      <c r="AA137" s="81" t="s">
        <v>1674</v>
      </c>
      <c r="AB137" s="79">
        <v>7</v>
      </c>
      <c r="AC137" s="80" t="str">
        <f>REPLACE(INDEX(GroupVertices[Group],MATCH("~"&amp;Edges[[#This Row],[Vertex 1]],GroupVertices[Vertex],0)),1,1,"")</f>
        <v>1</v>
      </c>
      <c r="AD137" s="80" t="str">
        <f>REPLACE(INDEX(GroupVertices[Group],MATCH("~"&amp;Edges[[#This Row],[Vertex 2]],GroupVertices[Vertex],0)),1,1,"")</f>
        <v>1</v>
      </c>
      <c r="AE137" s="105"/>
      <c r="AF137" s="105"/>
      <c r="AG137" s="105"/>
      <c r="AH137" s="105"/>
      <c r="AI137" s="105"/>
      <c r="AJ137" s="105"/>
      <c r="AK137" s="105"/>
      <c r="AL137" s="105"/>
      <c r="AM137" s="105"/>
    </row>
    <row r="138" spans="1:39" ht="15">
      <c r="A138" s="62" t="s">
        <v>254</v>
      </c>
      <c r="B138" s="62" t="s">
        <v>248</v>
      </c>
      <c r="C138" s="63" t="s">
        <v>3603</v>
      </c>
      <c r="D138" s="64">
        <v>5.7894736842105265</v>
      </c>
      <c r="E138" s="65" t="s">
        <v>136</v>
      </c>
      <c r="F138" s="66">
        <v>30.528301886792452</v>
      </c>
      <c r="G138" s="63"/>
      <c r="H138" s="67"/>
      <c r="I138" s="68"/>
      <c r="J138" s="68"/>
      <c r="K138" s="31" t="s">
        <v>65</v>
      </c>
      <c r="L138" s="76">
        <v>138</v>
      </c>
      <c r="M138" s="76"/>
      <c r="N138" s="70"/>
      <c r="O138" s="78" t="s">
        <v>305</v>
      </c>
      <c r="P138" s="78" t="s">
        <v>357</v>
      </c>
      <c r="Q138" s="78" t="s">
        <v>726</v>
      </c>
      <c r="R138" s="78" t="s">
        <v>1303</v>
      </c>
      <c r="S138" s="78"/>
      <c r="T138" s="78"/>
      <c r="U138" s="78"/>
      <c r="V138" s="78"/>
      <c r="W138" s="81" t="s">
        <v>1674</v>
      </c>
      <c r="X138" s="81" t="s">
        <v>1674</v>
      </c>
      <c r="Y138" s="78"/>
      <c r="Z138" s="78"/>
      <c r="AA138" s="81" t="s">
        <v>1674</v>
      </c>
      <c r="AB138" s="79">
        <v>4</v>
      </c>
      <c r="AC138" s="80" t="str">
        <f>REPLACE(INDEX(GroupVertices[Group],MATCH("~"&amp;Edges[[#This Row],[Vertex 1]],GroupVertices[Vertex],0)),1,1,"")</f>
        <v>2</v>
      </c>
      <c r="AD138" s="80" t="str">
        <f>REPLACE(INDEX(GroupVertices[Group],MATCH("~"&amp;Edges[[#This Row],[Vertex 2]],GroupVertices[Vertex],0)),1,1,"")</f>
        <v>1</v>
      </c>
      <c r="AE138" s="105"/>
      <c r="AF138" s="105"/>
      <c r="AG138" s="105"/>
      <c r="AH138" s="105"/>
      <c r="AI138" s="105"/>
      <c r="AJ138" s="105"/>
      <c r="AK138" s="105"/>
      <c r="AL138" s="105"/>
      <c r="AM138" s="105"/>
    </row>
    <row r="139" spans="1:39" ht="15">
      <c r="A139" s="62" t="s">
        <v>254</v>
      </c>
      <c r="B139" s="62" t="s">
        <v>248</v>
      </c>
      <c r="C139" s="63" t="s">
        <v>3603</v>
      </c>
      <c r="D139" s="64">
        <v>5.7894736842105265</v>
      </c>
      <c r="E139" s="65" t="s">
        <v>136</v>
      </c>
      <c r="F139" s="66">
        <v>30.528301886792452</v>
      </c>
      <c r="G139" s="63"/>
      <c r="H139" s="67"/>
      <c r="I139" s="68"/>
      <c r="J139" s="68"/>
      <c r="K139" s="31" t="s">
        <v>65</v>
      </c>
      <c r="L139" s="76">
        <v>139</v>
      </c>
      <c r="M139" s="76"/>
      <c r="N139" s="70"/>
      <c r="O139" s="78" t="s">
        <v>305</v>
      </c>
      <c r="P139" s="78" t="s">
        <v>357</v>
      </c>
      <c r="Q139" s="78" t="s">
        <v>727</v>
      </c>
      <c r="R139" s="78" t="s">
        <v>1303</v>
      </c>
      <c r="S139" s="78"/>
      <c r="T139" s="78"/>
      <c r="U139" s="78"/>
      <c r="V139" s="78"/>
      <c r="W139" s="81" t="s">
        <v>1674</v>
      </c>
      <c r="X139" s="81" t="s">
        <v>1674</v>
      </c>
      <c r="Y139" s="78"/>
      <c r="Z139" s="78"/>
      <c r="AA139" s="81" t="s">
        <v>1674</v>
      </c>
      <c r="AB139" s="79">
        <v>4</v>
      </c>
      <c r="AC139" s="80" t="str">
        <f>REPLACE(INDEX(GroupVertices[Group],MATCH("~"&amp;Edges[[#This Row],[Vertex 1]],GroupVertices[Vertex],0)),1,1,"")</f>
        <v>2</v>
      </c>
      <c r="AD139" s="80" t="str">
        <f>REPLACE(INDEX(GroupVertices[Group],MATCH("~"&amp;Edges[[#This Row],[Vertex 2]],GroupVertices[Vertex],0)),1,1,"")</f>
        <v>1</v>
      </c>
      <c r="AE139" s="105"/>
      <c r="AF139" s="105"/>
      <c r="AG139" s="105"/>
      <c r="AH139" s="105"/>
      <c r="AI139" s="105"/>
      <c r="AJ139" s="105"/>
      <c r="AK139" s="105"/>
      <c r="AL139" s="105"/>
      <c r="AM139" s="105"/>
    </row>
    <row r="140" spans="1:39" ht="15">
      <c r="A140" s="62" t="s">
        <v>254</v>
      </c>
      <c r="B140" s="62" t="s">
        <v>248</v>
      </c>
      <c r="C140" s="63" t="s">
        <v>3603</v>
      </c>
      <c r="D140" s="64">
        <v>5.7894736842105265</v>
      </c>
      <c r="E140" s="65" t="s">
        <v>136</v>
      </c>
      <c r="F140" s="66">
        <v>30.528301886792452</v>
      </c>
      <c r="G140" s="63"/>
      <c r="H140" s="67"/>
      <c r="I140" s="68"/>
      <c r="J140" s="68"/>
      <c r="K140" s="31" t="s">
        <v>65</v>
      </c>
      <c r="L140" s="76">
        <v>140</v>
      </c>
      <c r="M140" s="76"/>
      <c r="N140" s="70"/>
      <c r="O140" s="78" t="s">
        <v>305</v>
      </c>
      <c r="P140" s="78" t="s">
        <v>363</v>
      </c>
      <c r="Q140" s="78" t="s">
        <v>728</v>
      </c>
      <c r="R140" s="78" t="s">
        <v>1313</v>
      </c>
      <c r="S140" s="78"/>
      <c r="T140" s="78"/>
      <c r="U140" s="78"/>
      <c r="V140" s="78"/>
      <c r="W140" s="81" t="s">
        <v>1674</v>
      </c>
      <c r="X140" s="81" t="s">
        <v>1674</v>
      </c>
      <c r="Y140" s="78"/>
      <c r="Z140" s="78"/>
      <c r="AA140" s="81" t="s">
        <v>1674</v>
      </c>
      <c r="AB140" s="79">
        <v>4</v>
      </c>
      <c r="AC140" s="80" t="str">
        <f>REPLACE(INDEX(GroupVertices[Group],MATCH("~"&amp;Edges[[#This Row],[Vertex 1]],GroupVertices[Vertex],0)),1,1,"")</f>
        <v>2</v>
      </c>
      <c r="AD140" s="80" t="str">
        <f>REPLACE(INDEX(GroupVertices[Group],MATCH("~"&amp;Edges[[#This Row],[Vertex 2]],GroupVertices[Vertex],0)),1,1,"")</f>
        <v>1</v>
      </c>
      <c r="AE140" s="105"/>
      <c r="AF140" s="105"/>
      <c r="AG140" s="105"/>
      <c r="AH140" s="105"/>
      <c r="AI140" s="105"/>
      <c r="AJ140" s="105"/>
      <c r="AK140" s="105"/>
      <c r="AL140" s="105"/>
      <c r="AM140" s="105"/>
    </row>
    <row r="141" spans="1:39" ht="15">
      <c r="A141" s="62" t="s">
        <v>254</v>
      </c>
      <c r="B141" s="62" t="s">
        <v>248</v>
      </c>
      <c r="C141" s="63" t="s">
        <v>3603</v>
      </c>
      <c r="D141" s="64">
        <v>5.7894736842105265</v>
      </c>
      <c r="E141" s="65" t="s">
        <v>136</v>
      </c>
      <c r="F141" s="66">
        <v>30.528301886792452</v>
      </c>
      <c r="G141" s="63"/>
      <c r="H141" s="67"/>
      <c r="I141" s="68"/>
      <c r="J141" s="68"/>
      <c r="K141" s="31" t="s">
        <v>65</v>
      </c>
      <c r="L141" s="76">
        <v>141</v>
      </c>
      <c r="M141" s="76"/>
      <c r="N141" s="70"/>
      <c r="O141" s="78" t="s">
        <v>305</v>
      </c>
      <c r="P141" s="78" t="s">
        <v>361</v>
      </c>
      <c r="Q141" s="78" t="s">
        <v>729</v>
      </c>
      <c r="R141" s="78" t="s">
        <v>1311</v>
      </c>
      <c r="S141" s="78"/>
      <c r="T141" s="78"/>
      <c r="U141" s="78"/>
      <c r="V141" s="78"/>
      <c r="W141" s="81" t="s">
        <v>1674</v>
      </c>
      <c r="X141" s="81" t="s">
        <v>1674</v>
      </c>
      <c r="Y141" s="78"/>
      <c r="Z141" s="78"/>
      <c r="AA141" s="81" t="s">
        <v>1674</v>
      </c>
      <c r="AB141" s="79">
        <v>4</v>
      </c>
      <c r="AC141" s="80" t="str">
        <f>REPLACE(INDEX(GroupVertices[Group],MATCH("~"&amp;Edges[[#This Row],[Vertex 1]],GroupVertices[Vertex],0)),1,1,"")</f>
        <v>2</v>
      </c>
      <c r="AD141" s="80" t="str">
        <f>REPLACE(INDEX(GroupVertices[Group],MATCH("~"&amp;Edges[[#This Row],[Vertex 2]],GroupVertices[Vertex],0)),1,1,"")</f>
        <v>1</v>
      </c>
      <c r="AE141" s="105"/>
      <c r="AF141" s="105"/>
      <c r="AG141" s="105"/>
      <c r="AH141" s="105"/>
      <c r="AI141" s="105"/>
      <c r="AJ141" s="105"/>
      <c r="AK141" s="105"/>
      <c r="AL141" s="105"/>
      <c r="AM141" s="105"/>
    </row>
    <row r="142" spans="1:39" ht="15">
      <c r="A142" s="62" t="s">
        <v>255</v>
      </c>
      <c r="B142" s="62" t="s">
        <v>248</v>
      </c>
      <c r="C142" s="63" t="s">
        <v>3598</v>
      </c>
      <c r="D142" s="64">
        <v>5.2631578947368425</v>
      </c>
      <c r="E142" s="65" t="s">
        <v>136</v>
      </c>
      <c r="F142" s="66">
        <v>31.50943396226415</v>
      </c>
      <c r="G142" s="63"/>
      <c r="H142" s="67"/>
      <c r="I142" s="68"/>
      <c r="J142" s="68"/>
      <c r="K142" s="31" t="s">
        <v>65</v>
      </c>
      <c r="L142" s="76">
        <v>142</v>
      </c>
      <c r="M142" s="76"/>
      <c r="N142" s="70"/>
      <c r="O142" s="78" t="s">
        <v>305</v>
      </c>
      <c r="P142" s="78" t="s">
        <v>363</v>
      </c>
      <c r="Q142" s="78" t="s">
        <v>730</v>
      </c>
      <c r="R142" s="78" t="s">
        <v>1313</v>
      </c>
      <c r="S142" s="78"/>
      <c r="T142" s="78"/>
      <c r="U142" s="78"/>
      <c r="V142" s="78"/>
      <c r="W142" s="81" t="s">
        <v>1674</v>
      </c>
      <c r="X142" s="81" t="s">
        <v>1674</v>
      </c>
      <c r="Y142" s="78"/>
      <c r="Z142" s="78"/>
      <c r="AA142" s="81" t="s">
        <v>1674</v>
      </c>
      <c r="AB142" s="79">
        <v>2</v>
      </c>
      <c r="AC142" s="80" t="str">
        <f>REPLACE(INDEX(GroupVertices[Group],MATCH("~"&amp;Edges[[#This Row],[Vertex 1]],GroupVertices[Vertex],0)),1,1,"")</f>
        <v>1</v>
      </c>
      <c r="AD142" s="80" t="str">
        <f>REPLACE(INDEX(GroupVertices[Group],MATCH("~"&amp;Edges[[#This Row],[Vertex 2]],GroupVertices[Vertex],0)),1,1,"")</f>
        <v>1</v>
      </c>
      <c r="AE142" s="105"/>
      <c r="AF142" s="105"/>
      <c r="AG142" s="105"/>
      <c r="AH142" s="105"/>
      <c r="AI142" s="105"/>
      <c r="AJ142" s="105"/>
      <c r="AK142" s="105"/>
      <c r="AL142" s="105"/>
      <c r="AM142" s="105"/>
    </row>
    <row r="143" spans="1:39" ht="15">
      <c r="A143" s="62" t="s">
        <v>255</v>
      </c>
      <c r="B143" s="62" t="s">
        <v>248</v>
      </c>
      <c r="C143" s="63" t="s">
        <v>3598</v>
      </c>
      <c r="D143" s="64">
        <v>5.2631578947368425</v>
      </c>
      <c r="E143" s="65" t="s">
        <v>136</v>
      </c>
      <c r="F143" s="66">
        <v>31.50943396226415</v>
      </c>
      <c r="G143" s="63"/>
      <c r="H143" s="67"/>
      <c r="I143" s="68"/>
      <c r="J143" s="68"/>
      <c r="K143" s="31" t="s">
        <v>65</v>
      </c>
      <c r="L143" s="76">
        <v>143</v>
      </c>
      <c r="M143" s="76"/>
      <c r="N143" s="70"/>
      <c r="O143" s="78" t="s">
        <v>305</v>
      </c>
      <c r="P143" s="78" t="s">
        <v>355</v>
      </c>
      <c r="Q143" s="78" t="s">
        <v>731</v>
      </c>
      <c r="R143" s="78" t="s">
        <v>1301</v>
      </c>
      <c r="S143" s="78"/>
      <c r="T143" s="78"/>
      <c r="U143" s="78"/>
      <c r="V143" s="78"/>
      <c r="W143" s="81" t="s">
        <v>1674</v>
      </c>
      <c r="X143" s="81" t="s">
        <v>1674</v>
      </c>
      <c r="Y143" s="78"/>
      <c r="Z143" s="78"/>
      <c r="AA143" s="81" t="s">
        <v>1674</v>
      </c>
      <c r="AB143" s="79">
        <v>2</v>
      </c>
      <c r="AC143" s="80" t="str">
        <f>REPLACE(INDEX(GroupVertices[Group],MATCH("~"&amp;Edges[[#This Row],[Vertex 1]],GroupVertices[Vertex],0)),1,1,"")</f>
        <v>1</v>
      </c>
      <c r="AD143" s="80" t="str">
        <f>REPLACE(INDEX(GroupVertices[Group],MATCH("~"&amp;Edges[[#This Row],[Vertex 2]],GroupVertices[Vertex],0)),1,1,"")</f>
        <v>1</v>
      </c>
      <c r="AE143" s="105"/>
      <c r="AF143" s="105"/>
      <c r="AG143" s="105"/>
      <c r="AH143" s="105"/>
      <c r="AI143" s="105"/>
      <c r="AJ143" s="105"/>
      <c r="AK143" s="105"/>
      <c r="AL143" s="105"/>
      <c r="AM143" s="105"/>
    </row>
    <row r="144" spans="1:39" ht="15">
      <c r="A144" s="62" t="s">
        <v>256</v>
      </c>
      <c r="B144" s="62" t="s">
        <v>248</v>
      </c>
      <c r="C144" s="63" t="s">
        <v>3602</v>
      </c>
      <c r="D144" s="64">
        <v>5.526315789473684</v>
      </c>
      <c r="E144" s="65" t="s">
        <v>136</v>
      </c>
      <c r="F144" s="66">
        <v>31.0188679245283</v>
      </c>
      <c r="G144" s="63"/>
      <c r="H144" s="67"/>
      <c r="I144" s="68"/>
      <c r="J144" s="68"/>
      <c r="K144" s="31" t="s">
        <v>65</v>
      </c>
      <c r="L144" s="76">
        <v>144</v>
      </c>
      <c r="M144" s="76"/>
      <c r="N144" s="70"/>
      <c r="O144" s="78" t="s">
        <v>305</v>
      </c>
      <c r="P144" s="78" t="s">
        <v>357</v>
      </c>
      <c r="Q144" s="78" t="s">
        <v>732</v>
      </c>
      <c r="R144" s="78" t="s">
        <v>1303</v>
      </c>
      <c r="S144" s="78"/>
      <c r="T144" s="78"/>
      <c r="U144" s="78"/>
      <c r="V144" s="78"/>
      <c r="W144" s="81" t="s">
        <v>1674</v>
      </c>
      <c r="X144" s="81" t="s">
        <v>1674</v>
      </c>
      <c r="Y144" s="78"/>
      <c r="Z144" s="78"/>
      <c r="AA144" s="81" t="s">
        <v>1674</v>
      </c>
      <c r="AB144" s="79">
        <v>3</v>
      </c>
      <c r="AC144" s="80" t="str">
        <f>REPLACE(INDEX(GroupVertices[Group],MATCH("~"&amp;Edges[[#This Row],[Vertex 1]],GroupVertices[Vertex],0)),1,1,"")</f>
        <v>1</v>
      </c>
      <c r="AD144" s="80" t="str">
        <f>REPLACE(INDEX(GroupVertices[Group],MATCH("~"&amp;Edges[[#This Row],[Vertex 2]],GroupVertices[Vertex],0)),1,1,"")</f>
        <v>1</v>
      </c>
      <c r="AE144" s="105"/>
      <c r="AF144" s="105"/>
      <c r="AG144" s="105"/>
      <c r="AH144" s="105"/>
      <c r="AI144" s="105"/>
      <c r="AJ144" s="105"/>
      <c r="AK144" s="105"/>
      <c r="AL144" s="105"/>
      <c r="AM144" s="105"/>
    </row>
    <row r="145" spans="1:39" ht="15">
      <c r="A145" s="62" t="s">
        <v>256</v>
      </c>
      <c r="B145" s="62" t="s">
        <v>248</v>
      </c>
      <c r="C145" s="63" t="s">
        <v>3602</v>
      </c>
      <c r="D145" s="64">
        <v>5.526315789473684</v>
      </c>
      <c r="E145" s="65" t="s">
        <v>136</v>
      </c>
      <c r="F145" s="66">
        <v>31.0188679245283</v>
      </c>
      <c r="G145" s="63"/>
      <c r="H145" s="67"/>
      <c r="I145" s="68"/>
      <c r="J145" s="68"/>
      <c r="K145" s="31" t="s">
        <v>65</v>
      </c>
      <c r="L145" s="76">
        <v>145</v>
      </c>
      <c r="M145" s="76"/>
      <c r="N145" s="70"/>
      <c r="O145" s="78" t="s">
        <v>305</v>
      </c>
      <c r="P145" s="78" t="s">
        <v>357</v>
      </c>
      <c r="Q145" s="78" t="s">
        <v>732</v>
      </c>
      <c r="R145" s="78" t="s">
        <v>1303</v>
      </c>
      <c r="S145" s="78"/>
      <c r="T145" s="78"/>
      <c r="U145" s="78"/>
      <c r="V145" s="78"/>
      <c r="W145" s="81" t="s">
        <v>1674</v>
      </c>
      <c r="X145" s="81" t="s">
        <v>1674</v>
      </c>
      <c r="Y145" s="78"/>
      <c r="Z145" s="78"/>
      <c r="AA145" s="81" t="s">
        <v>1674</v>
      </c>
      <c r="AB145" s="79">
        <v>3</v>
      </c>
      <c r="AC145" s="80" t="str">
        <f>REPLACE(INDEX(GroupVertices[Group],MATCH("~"&amp;Edges[[#This Row],[Vertex 1]],GroupVertices[Vertex],0)),1,1,"")</f>
        <v>1</v>
      </c>
      <c r="AD145" s="80" t="str">
        <f>REPLACE(INDEX(GroupVertices[Group],MATCH("~"&amp;Edges[[#This Row],[Vertex 2]],GroupVertices[Vertex],0)),1,1,"")</f>
        <v>1</v>
      </c>
      <c r="AE145" s="105"/>
      <c r="AF145" s="105"/>
      <c r="AG145" s="105"/>
      <c r="AH145" s="105"/>
      <c r="AI145" s="105"/>
      <c r="AJ145" s="105"/>
      <c r="AK145" s="105"/>
      <c r="AL145" s="105"/>
      <c r="AM145" s="105"/>
    </row>
    <row r="146" spans="1:39" ht="15">
      <c r="A146" s="62" t="s">
        <v>256</v>
      </c>
      <c r="B146" s="62" t="s">
        <v>248</v>
      </c>
      <c r="C146" s="63" t="s">
        <v>3602</v>
      </c>
      <c r="D146" s="64">
        <v>5.526315789473684</v>
      </c>
      <c r="E146" s="65" t="s">
        <v>136</v>
      </c>
      <c r="F146" s="66">
        <v>31.0188679245283</v>
      </c>
      <c r="G146" s="63"/>
      <c r="H146" s="67"/>
      <c r="I146" s="68"/>
      <c r="J146" s="68"/>
      <c r="K146" s="31" t="s">
        <v>65</v>
      </c>
      <c r="L146" s="76">
        <v>146</v>
      </c>
      <c r="M146" s="76"/>
      <c r="N146" s="70"/>
      <c r="O146" s="78" t="s">
        <v>305</v>
      </c>
      <c r="P146" s="78" t="s">
        <v>363</v>
      </c>
      <c r="Q146" s="78" t="s">
        <v>733</v>
      </c>
      <c r="R146" s="78" t="s">
        <v>1313</v>
      </c>
      <c r="S146" s="78"/>
      <c r="T146" s="78"/>
      <c r="U146" s="78"/>
      <c r="V146" s="78"/>
      <c r="W146" s="81" t="s">
        <v>1674</v>
      </c>
      <c r="X146" s="81" t="s">
        <v>1674</v>
      </c>
      <c r="Y146" s="78"/>
      <c r="Z146" s="78"/>
      <c r="AA146" s="81" t="s">
        <v>1674</v>
      </c>
      <c r="AB146" s="79">
        <v>3</v>
      </c>
      <c r="AC146" s="80" t="str">
        <f>REPLACE(INDEX(GroupVertices[Group],MATCH("~"&amp;Edges[[#This Row],[Vertex 1]],GroupVertices[Vertex],0)),1,1,"")</f>
        <v>1</v>
      </c>
      <c r="AD146" s="80" t="str">
        <f>REPLACE(INDEX(GroupVertices[Group],MATCH("~"&amp;Edges[[#This Row],[Vertex 2]],GroupVertices[Vertex],0)),1,1,"")</f>
        <v>1</v>
      </c>
      <c r="AE146" s="105"/>
      <c r="AF146" s="105"/>
      <c r="AG146" s="105"/>
      <c r="AH146" s="105"/>
      <c r="AI146" s="105"/>
      <c r="AJ146" s="105"/>
      <c r="AK146" s="105"/>
      <c r="AL146" s="105"/>
      <c r="AM146" s="105"/>
    </row>
    <row r="147" spans="1:39" ht="15">
      <c r="A147" s="62" t="s">
        <v>257</v>
      </c>
      <c r="B147" s="62" t="s">
        <v>248</v>
      </c>
      <c r="C147" s="63" t="s">
        <v>3598</v>
      </c>
      <c r="D147" s="64">
        <v>5.2631578947368425</v>
      </c>
      <c r="E147" s="65" t="s">
        <v>136</v>
      </c>
      <c r="F147" s="66">
        <v>31.50943396226415</v>
      </c>
      <c r="G147" s="63"/>
      <c r="H147" s="67"/>
      <c r="I147" s="68"/>
      <c r="J147" s="68"/>
      <c r="K147" s="31" t="s">
        <v>65</v>
      </c>
      <c r="L147" s="76">
        <v>147</v>
      </c>
      <c r="M147" s="76"/>
      <c r="N147" s="70"/>
      <c r="O147" s="78" t="s">
        <v>305</v>
      </c>
      <c r="P147" s="78" t="s">
        <v>359</v>
      </c>
      <c r="Q147" s="78" t="s">
        <v>734</v>
      </c>
      <c r="R147" s="78" t="s">
        <v>1306</v>
      </c>
      <c r="S147" s="78"/>
      <c r="T147" s="78"/>
      <c r="U147" s="78"/>
      <c r="V147" s="78"/>
      <c r="W147" s="81" t="s">
        <v>1674</v>
      </c>
      <c r="X147" s="81" t="s">
        <v>1674</v>
      </c>
      <c r="Y147" s="78"/>
      <c r="Z147" s="78"/>
      <c r="AA147" s="81" t="s">
        <v>1674</v>
      </c>
      <c r="AB147" s="79">
        <v>2</v>
      </c>
      <c r="AC147" s="80" t="str">
        <f>REPLACE(INDEX(GroupVertices[Group],MATCH("~"&amp;Edges[[#This Row],[Vertex 1]],GroupVertices[Vertex],0)),1,1,"")</f>
        <v>1</v>
      </c>
      <c r="AD147" s="80" t="str">
        <f>REPLACE(INDEX(GroupVertices[Group],MATCH("~"&amp;Edges[[#This Row],[Vertex 2]],GroupVertices[Vertex],0)),1,1,"")</f>
        <v>1</v>
      </c>
      <c r="AE147" s="105"/>
      <c r="AF147" s="105"/>
      <c r="AG147" s="105"/>
      <c r="AH147" s="105"/>
      <c r="AI147" s="105"/>
      <c r="AJ147" s="105"/>
      <c r="AK147" s="105"/>
      <c r="AL147" s="105"/>
      <c r="AM147" s="105"/>
    </row>
    <row r="148" spans="1:39" ht="15">
      <c r="A148" s="62" t="s">
        <v>257</v>
      </c>
      <c r="B148" s="62" t="s">
        <v>248</v>
      </c>
      <c r="C148" s="63" t="s">
        <v>3598</v>
      </c>
      <c r="D148" s="64">
        <v>5.2631578947368425</v>
      </c>
      <c r="E148" s="65" t="s">
        <v>136</v>
      </c>
      <c r="F148" s="66">
        <v>31.50943396226415</v>
      </c>
      <c r="G148" s="63"/>
      <c r="H148" s="67"/>
      <c r="I148" s="68"/>
      <c r="J148" s="68"/>
      <c r="K148" s="31" t="s">
        <v>65</v>
      </c>
      <c r="L148" s="76">
        <v>148</v>
      </c>
      <c r="M148" s="76"/>
      <c r="N148" s="70"/>
      <c r="O148" s="78" t="s">
        <v>305</v>
      </c>
      <c r="P148" s="78" t="s">
        <v>359</v>
      </c>
      <c r="Q148" s="78" t="s">
        <v>735</v>
      </c>
      <c r="R148" s="78" t="s">
        <v>1306</v>
      </c>
      <c r="S148" s="78"/>
      <c r="T148" s="78"/>
      <c r="U148" s="78"/>
      <c r="V148" s="78"/>
      <c r="W148" s="81" t="s">
        <v>1674</v>
      </c>
      <c r="X148" s="81" t="s">
        <v>1674</v>
      </c>
      <c r="Y148" s="78"/>
      <c r="Z148" s="78"/>
      <c r="AA148" s="81" t="s">
        <v>1674</v>
      </c>
      <c r="AB148" s="79">
        <v>2</v>
      </c>
      <c r="AC148" s="80" t="str">
        <f>REPLACE(INDEX(GroupVertices[Group],MATCH("~"&amp;Edges[[#This Row],[Vertex 1]],GroupVertices[Vertex],0)),1,1,"")</f>
        <v>1</v>
      </c>
      <c r="AD148" s="80" t="str">
        <f>REPLACE(INDEX(GroupVertices[Group],MATCH("~"&amp;Edges[[#This Row],[Vertex 2]],GroupVertices[Vertex],0)),1,1,"")</f>
        <v>1</v>
      </c>
      <c r="AE148" s="105"/>
      <c r="AF148" s="105"/>
      <c r="AG148" s="105"/>
      <c r="AH148" s="105"/>
      <c r="AI148" s="105"/>
      <c r="AJ148" s="105"/>
      <c r="AK148" s="105"/>
      <c r="AL148" s="105"/>
      <c r="AM148" s="105"/>
    </row>
    <row r="149" spans="1:39" ht="15">
      <c r="A149" s="62" t="s">
        <v>258</v>
      </c>
      <c r="B149" s="62" t="s">
        <v>248</v>
      </c>
      <c r="C149" s="63" t="s">
        <v>3598</v>
      </c>
      <c r="D149" s="64">
        <v>5.2631578947368425</v>
      </c>
      <c r="E149" s="65" t="s">
        <v>136</v>
      </c>
      <c r="F149" s="66">
        <v>31.50943396226415</v>
      </c>
      <c r="G149" s="63"/>
      <c r="H149" s="67"/>
      <c r="I149" s="68"/>
      <c r="J149" s="68"/>
      <c r="K149" s="31" t="s">
        <v>65</v>
      </c>
      <c r="L149" s="76">
        <v>149</v>
      </c>
      <c r="M149" s="76"/>
      <c r="N149" s="70"/>
      <c r="O149" s="78" t="s">
        <v>305</v>
      </c>
      <c r="P149" s="78" t="s">
        <v>353</v>
      </c>
      <c r="Q149" s="78" t="s">
        <v>736</v>
      </c>
      <c r="R149" s="78" t="s">
        <v>1299</v>
      </c>
      <c r="S149" s="78" t="s">
        <v>1645</v>
      </c>
      <c r="T149" s="78"/>
      <c r="U149" s="78" t="s">
        <v>1670</v>
      </c>
      <c r="V149" s="78"/>
      <c r="W149" s="81" t="s">
        <v>1674</v>
      </c>
      <c r="X149" s="81" t="s">
        <v>1674</v>
      </c>
      <c r="Y149" s="78" t="s">
        <v>1678</v>
      </c>
      <c r="Z149" s="78" t="s">
        <v>1709</v>
      </c>
      <c r="AA149" s="81" t="s">
        <v>1674</v>
      </c>
      <c r="AB149" s="79">
        <v>2</v>
      </c>
      <c r="AC149" s="80" t="str">
        <f>REPLACE(INDEX(GroupVertices[Group],MATCH("~"&amp;Edges[[#This Row],[Vertex 1]],GroupVertices[Vertex],0)),1,1,"")</f>
        <v>1</v>
      </c>
      <c r="AD149" s="80" t="str">
        <f>REPLACE(INDEX(GroupVertices[Group],MATCH("~"&amp;Edges[[#This Row],[Vertex 2]],GroupVertices[Vertex],0)),1,1,"")</f>
        <v>1</v>
      </c>
      <c r="AE149" s="105"/>
      <c r="AF149" s="105"/>
      <c r="AG149" s="105"/>
      <c r="AH149" s="105"/>
      <c r="AI149" s="105"/>
      <c r="AJ149" s="105"/>
      <c r="AK149" s="105"/>
      <c r="AL149" s="105"/>
      <c r="AM149" s="105"/>
    </row>
    <row r="150" spans="1:39" ht="15">
      <c r="A150" s="62" t="s">
        <v>258</v>
      </c>
      <c r="B150" s="62" t="s">
        <v>248</v>
      </c>
      <c r="C150" s="63" t="s">
        <v>3598</v>
      </c>
      <c r="D150" s="64">
        <v>5.2631578947368425</v>
      </c>
      <c r="E150" s="65" t="s">
        <v>136</v>
      </c>
      <c r="F150" s="66">
        <v>31.50943396226415</v>
      </c>
      <c r="G150" s="63"/>
      <c r="H150" s="67"/>
      <c r="I150" s="68"/>
      <c r="J150" s="68"/>
      <c r="K150" s="31" t="s">
        <v>65</v>
      </c>
      <c r="L150" s="76">
        <v>150</v>
      </c>
      <c r="M150" s="76"/>
      <c r="N150" s="70"/>
      <c r="O150" s="78" t="s">
        <v>305</v>
      </c>
      <c r="P150" s="78" t="s">
        <v>353</v>
      </c>
      <c r="Q150" s="78" t="s">
        <v>737</v>
      </c>
      <c r="R150" s="78" t="s">
        <v>1299</v>
      </c>
      <c r="S150" s="78"/>
      <c r="T150" s="78"/>
      <c r="U150" s="78"/>
      <c r="V150" s="78"/>
      <c r="W150" s="81" t="s">
        <v>1674</v>
      </c>
      <c r="X150" s="81" t="s">
        <v>1674</v>
      </c>
      <c r="Y150" s="78"/>
      <c r="Z150" s="78"/>
      <c r="AA150" s="81" t="s">
        <v>1674</v>
      </c>
      <c r="AB150" s="79">
        <v>2</v>
      </c>
      <c r="AC150" s="80" t="str">
        <f>REPLACE(INDEX(GroupVertices[Group],MATCH("~"&amp;Edges[[#This Row],[Vertex 1]],GroupVertices[Vertex],0)),1,1,"")</f>
        <v>1</v>
      </c>
      <c r="AD150" s="80" t="str">
        <f>REPLACE(INDEX(GroupVertices[Group],MATCH("~"&amp;Edges[[#This Row],[Vertex 2]],GroupVertices[Vertex],0)),1,1,"")</f>
        <v>1</v>
      </c>
      <c r="AE150" s="105"/>
      <c r="AF150" s="105"/>
      <c r="AG150" s="105"/>
      <c r="AH150" s="105"/>
      <c r="AI150" s="105"/>
      <c r="AJ150" s="105"/>
      <c r="AK150" s="105"/>
      <c r="AL150" s="105"/>
      <c r="AM150" s="105"/>
    </row>
    <row r="151" spans="1:39" ht="15">
      <c r="A151" s="62" t="s">
        <v>259</v>
      </c>
      <c r="B151" s="62" t="s">
        <v>248</v>
      </c>
      <c r="C151" s="63" t="s">
        <v>3604</v>
      </c>
      <c r="D151" s="64">
        <v>10</v>
      </c>
      <c r="E151" s="65" t="s">
        <v>136</v>
      </c>
      <c r="F151" s="66">
        <v>20.71698113207547</v>
      </c>
      <c r="G151" s="63"/>
      <c r="H151" s="67"/>
      <c r="I151" s="68"/>
      <c r="J151" s="68"/>
      <c r="K151" s="31" t="s">
        <v>65</v>
      </c>
      <c r="L151" s="76">
        <v>151</v>
      </c>
      <c r="M151" s="76"/>
      <c r="N151" s="70"/>
      <c r="O151" s="78" t="s">
        <v>305</v>
      </c>
      <c r="P151" s="78" t="s">
        <v>360</v>
      </c>
      <c r="Q151" s="78" t="s">
        <v>738</v>
      </c>
      <c r="R151" s="78" t="s">
        <v>1307</v>
      </c>
      <c r="S151" s="78"/>
      <c r="T151" s="78"/>
      <c r="U151" s="78"/>
      <c r="V151" s="78"/>
      <c r="W151" s="81" t="s">
        <v>1674</v>
      </c>
      <c r="X151" s="81" t="s">
        <v>1674</v>
      </c>
      <c r="Y151" s="78"/>
      <c r="Z151" s="78"/>
      <c r="AA151" s="81" t="s">
        <v>1674</v>
      </c>
      <c r="AB151" s="79">
        <v>24</v>
      </c>
      <c r="AC151" s="80" t="str">
        <f>REPLACE(INDEX(GroupVertices[Group],MATCH("~"&amp;Edges[[#This Row],[Vertex 1]],GroupVertices[Vertex],0)),1,1,"")</f>
        <v>1</v>
      </c>
      <c r="AD151" s="80" t="str">
        <f>REPLACE(INDEX(GroupVertices[Group],MATCH("~"&amp;Edges[[#This Row],[Vertex 2]],GroupVertices[Vertex],0)),1,1,"")</f>
        <v>1</v>
      </c>
      <c r="AE151" s="105"/>
      <c r="AF151" s="105"/>
      <c r="AG151" s="105"/>
      <c r="AH151" s="105"/>
      <c r="AI151" s="105"/>
      <c r="AJ151" s="105"/>
      <c r="AK151" s="105"/>
      <c r="AL151" s="105"/>
      <c r="AM151" s="105"/>
    </row>
    <row r="152" spans="1:39" ht="15">
      <c r="A152" s="62" t="s">
        <v>259</v>
      </c>
      <c r="B152" s="62" t="s">
        <v>248</v>
      </c>
      <c r="C152" s="63" t="s">
        <v>3604</v>
      </c>
      <c r="D152" s="64">
        <v>10</v>
      </c>
      <c r="E152" s="65" t="s">
        <v>136</v>
      </c>
      <c r="F152" s="66">
        <v>20.71698113207547</v>
      </c>
      <c r="G152" s="63"/>
      <c r="H152" s="67"/>
      <c r="I152" s="68"/>
      <c r="J152" s="68"/>
      <c r="K152" s="31" t="s">
        <v>65</v>
      </c>
      <c r="L152" s="76">
        <v>152</v>
      </c>
      <c r="M152" s="76"/>
      <c r="N152" s="70"/>
      <c r="O152" s="78" t="s">
        <v>305</v>
      </c>
      <c r="P152" s="78" t="s">
        <v>360</v>
      </c>
      <c r="Q152" s="78" t="s">
        <v>738</v>
      </c>
      <c r="R152" s="78" t="s">
        <v>1308</v>
      </c>
      <c r="S152" s="78"/>
      <c r="T152" s="78"/>
      <c r="U152" s="78"/>
      <c r="V152" s="78"/>
      <c r="W152" s="81" t="s">
        <v>1674</v>
      </c>
      <c r="X152" s="81" t="s">
        <v>1674</v>
      </c>
      <c r="Y152" s="78"/>
      <c r="Z152" s="78"/>
      <c r="AA152" s="81" t="s">
        <v>1674</v>
      </c>
      <c r="AB152" s="79">
        <v>24</v>
      </c>
      <c r="AC152" s="80" t="str">
        <f>REPLACE(INDEX(GroupVertices[Group],MATCH("~"&amp;Edges[[#This Row],[Vertex 1]],GroupVertices[Vertex],0)),1,1,"")</f>
        <v>1</v>
      </c>
      <c r="AD152" s="80" t="str">
        <f>REPLACE(INDEX(GroupVertices[Group],MATCH("~"&amp;Edges[[#This Row],[Vertex 2]],GroupVertices[Vertex],0)),1,1,"")</f>
        <v>1</v>
      </c>
      <c r="AE152" s="105"/>
      <c r="AF152" s="105"/>
      <c r="AG152" s="105"/>
      <c r="AH152" s="105"/>
      <c r="AI152" s="105"/>
      <c r="AJ152" s="105"/>
      <c r="AK152" s="105"/>
      <c r="AL152" s="105"/>
      <c r="AM152" s="105"/>
    </row>
    <row r="153" spans="1:39" ht="15">
      <c r="A153" s="62" t="s">
        <v>259</v>
      </c>
      <c r="B153" s="62" t="s">
        <v>248</v>
      </c>
      <c r="C153" s="63" t="s">
        <v>3604</v>
      </c>
      <c r="D153" s="64">
        <v>10</v>
      </c>
      <c r="E153" s="65" t="s">
        <v>136</v>
      </c>
      <c r="F153" s="66">
        <v>20.71698113207547</v>
      </c>
      <c r="G153" s="63"/>
      <c r="H153" s="67"/>
      <c r="I153" s="68"/>
      <c r="J153" s="68"/>
      <c r="K153" s="31" t="s">
        <v>65</v>
      </c>
      <c r="L153" s="76">
        <v>153</v>
      </c>
      <c r="M153" s="76"/>
      <c r="N153" s="70"/>
      <c r="O153" s="78" t="s">
        <v>305</v>
      </c>
      <c r="P153" s="78" t="s">
        <v>360</v>
      </c>
      <c r="Q153" s="78" t="s">
        <v>738</v>
      </c>
      <c r="R153" s="78" t="s">
        <v>1309</v>
      </c>
      <c r="S153" s="78"/>
      <c r="T153" s="78"/>
      <c r="U153" s="78"/>
      <c r="V153" s="78"/>
      <c r="W153" s="81" t="s">
        <v>1674</v>
      </c>
      <c r="X153" s="81" t="s">
        <v>1674</v>
      </c>
      <c r="Y153" s="78"/>
      <c r="Z153" s="78"/>
      <c r="AA153" s="81" t="s">
        <v>1674</v>
      </c>
      <c r="AB153" s="79">
        <v>24</v>
      </c>
      <c r="AC153" s="80" t="str">
        <f>REPLACE(INDEX(GroupVertices[Group],MATCH("~"&amp;Edges[[#This Row],[Vertex 1]],GroupVertices[Vertex],0)),1,1,"")</f>
        <v>1</v>
      </c>
      <c r="AD153" s="80" t="str">
        <f>REPLACE(INDEX(GroupVertices[Group],MATCH("~"&amp;Edges[[#This Row],[Vertex 2]],GroupVertices[Vertex],0)),1,1,"")</f>
        <v>1</v>
      </c>
      <c r="AE153" s="105"/>
      <c r="AF153" s="105"/>
      <c r="AG153" s="105"/>
      <c r="AH153" s="105"/>
      <c r="AI153" s="105"/>
      <c r="AJ153" s="105"/>
      <c r="AK153" s="105"/>
      <c r="AL153" s="105"/>
      <c r="AM153" s="105"/>
    </row>
    <row r="154" spans="1:39" ht="15">
      <c r="A154" s="62" t="s">
        <v>259</v>
      </c>
      <c r="B154" s="62" t="s">
        <v>248</v>
      </c>
      <c r="C154" s="63" t="s">
        <v>3604</v>
      </c>
      <c r="D154" s="64">
        <v>10</v>
      </c>
      <c r="E154" s="65" t="s">
        <v>136</v>
      </c>
      <c r="F154" s="66">
        <v>20.71698113207547</v>
      </c>
      <c r="G154" s="63"/>
      <c r="H154" s="67"/>
      <c r="I154" s="68"/>
      <c r="J154" s="68"/>
      <c r="K154" s="31" t="s">
        <v>65</v>
      </c>
      <c r="L154" s="76">
        <v>154</v>
      </c>
      <c r="M154" s="76"/>
      <c r="N154" s="70"/>
      <c r="O154" s="78" t="s">
        <v>305</v>
      </c>
      <c r="P154" s="78" t="s">
        <v>360</v>
      </c>
      <c r="Q154" s="78" t="s">
        <v>738</v>
      </c>
      <c r="R154" s="78" t="s">
        <v>1310</v>
      </c>
      <c r="S154" s="78"/>
      <c r="T154" s="78"/>
      <c r="U154" s="78"/>
      <c r="V154" s="78"/>
      <c r="W154" s="81" t="s">
        <v>1674</v>
      </c>
      <c r="X154" s="81" t="s">
        <v>1674</v>
      </c>
      <c r="Y154" s="78"/>
      <c r="Z154" s="78"/>
      <c r="AA154" s="81" t="s">
        <v>1674</v>
      </c>
      <c r="AB154" s="79">
        <v>24</v>
      </c>
      <c r="AC154" s="80" t="str">
        <f>REPLACE(INDEX(GroupVertices[Group],MATCH("~"&amp;Edges[[#This Row],[Vertex 1]],GroupVertices[Vertex],0)),1,1,"")</f>
        <v>1</v>
      </c>
      <c r="AD154" s="80" t="str">
        <f>REPLACE(INDEX(GroupVertices[Group],MATCH("~"&amp;Edges[[#This Row],[Vertex 2]],GroupVertices[Vertex],0)),1,1,"")</f>
        <v>1</v>
      </c>
      <c r="AE154" s="105"/>
      <c r="AF154" s="105"/>
      <c r="AG154" s="105"/>
      <c r="AH154" s="105"/>
      <c r="AI154" s="105"/>
      <c r="AJ154" s="105"/>
      <c r="AK154" s="105"/>
      <c r="AL154" s="105"/>
      <c r="AM154" s="105"/>
    </row>
    <row r="155" spans="1:39" ht="15">
      <c r="A155" s="62" t="s">
        <v>259</v>
      </c>
      <c r="B155" s="62" t="s">
        <v>248</v>
      </c>
      <c r="C155" s="63" t="s">
        <v>3604</v>
      </c>
      <c r="D155" s="64">
        <v>10</v>
      </c>
      <c r="E155" s="65" t="s">
        <v>136</v>
      </c>
      <c r="F155" s="66">
        <v>20.71698113207547</v>
      </c>
      <c r="G155" s="63"/>
      <c r="H155" s="67"/>
      <c r="I155" s="68"/>
      <c r="J155" s="68"/>
      <c r="K155" s="31" t="s">
        <v>65</v>
      </c>
      <c r="L155" s="76">
        <v>155</v>
      </c>
      <c r="M155" s="76"/>
      <c r="N155" s="70"/>
      <c r="O155" s="78" t="s">
        <v>305</v>
      </c>
      <c r="P155" s="78" t="s">
        <v>360</v>
      </c>
      <c r="Q155" s="78" t="s">
        <v>739</v>
      </c>
      <c r="R155" s="78" t="s">
        <v>1307</v>
      </c>
      <c r="S155" s="78"/>
      <c r="T155" s="78"/>
      <c r="U155" s="78"/>
      <c r="V155" s="78"/>
      <c r="W155" s="81" t="s">
        <v>1674</v>
      </c>
      <c r="X155" s="81" t="s">
        <v>1674</v>
      </c>
      <c r="Y155" s="78"/>
      <c r="Z155" s="78"/>
      <c r="AA155" s="81" t="s">
        <v>1674</v>
      </c>
      <c r="AB155" s="79">
        <v>24</v>
      </c>
      <c r="AC155" s="80" t="str">
        <f>REPLACE(INDEX(GroupVertices[Group],MATCH("~"&amp;Edges[[#This Row],[Vertex 1]],GroupVertices[Vertex],0)),1,1,"")</f>
        <v>1</v>
      </c>
      <c r="AD155" s="80" t="str">
        <f>REPLACE(INDEX(GroupVertices[Group],MATCH("~"&amp;Edges[[#This Row],[Vertex 2]],GroupVertices[Vertex],0)),1,1,"")</f>
        <v>1</v>
      </c>
      <c r="AE155" s="105"/>
      <c r="AF155" s="105"/>
      <c r="AG155" s="105"/>
      <c r="AH155" s="105"/>
      <c r="AI155" s="105"/>
      <c r="AJ155" s="105"/>
      <c r="AK155" s="105"/>
      <c r="AL155" s="105"/>
      <c r="AM155" s="105"/>
    </row>
    <row r="156" spans="1:39" ht="15">
      <c r="A156" s="62" t="s">
        <v>259</v>
      </c>
      <c r="B156" s="62" t="s">
        <v>248</v>
      </c>
      <c r="C156" s="63" t="s">
        <v>3604</v>
      </c>
      <c r="D156" s="64">
        <v>10</v>
      </c>
      <c r="E156" s="65" t="s">
        <v>136</v>
      </c>
      <c r="F156" s="66">
        <v>20.71698113207547</v>
      </c>
      <c r="G156" s="63"/>
      <c r="H156" s="67"/>
      <c r="I156" s="68"/>
      <c r="J156" s="68"/>
      <c r="K156" s="31" t="s">
        <v>65</v>
      </c>
      <c r="L156" s="76">
        <v>156</v>
      </c>
      <c r="M156" s="76"/>
      <c r="N156" s="70"/>
      <c r="O156" s="78" t="s">
        <v>305</v>
      </c>
      <c r="P156" s="78" t="s">
        <v>360</v>
      </c>
      <c r="Q156" s="78" t="s">
        <v>739</v>
      </c>
      <c r="R156" s="78" t="s">
        <v>1308</v>
      </c>
      <c r="S156" s="78"/>
      <c r="T156" s="78"/>
      <c r="U156" s="78"/>
      <c r="V156" s="78"/>
      <c r="W156" s="81" t="s">
        <v>1674</v>
      </c>
      <c r="X156" s="81" t="s">
        <v>1674</v>
      </c>
      <c r="Y156" s="78"/>
      <c r="Z156" s="78"/>
      <c r="AA156" s="81" t="s">
        <v>1674</v>
      </c>
      <c r="AB156" s="79">
        <v>24</v>
      </c>
      <c r="AC156" s="80" t="str">
        <f>REPLACE(INDEX(GroupVertices[Group],MATCH("~"&amp;Edges[[#This Row],[Vertex 1]],GroupVertices[Vertex],0)),1,1,"")</f>
        <v>1</v>
      </c>
      <c r="AD156" s="80" t="str">
        <f>REPLACE(INDEX(GroupVertices[Group],MATCH("~"&amp;Edges[[#This Row],[Vertex 2]],GroupVertices[Vertex],0)),1,1,"")</f>
        <v>1</v>
      </c>
      <c r="AE156" s="105"/>
      <c r="AF156" s="105"/>
      <c r="AG156" s="105"/>
      <c r="AH156" s="105"/>
      <c r="AI156" s="105"/>
      <c r="AJ156" s="105"/>
      <c r="AK156" s="105"/>
      <c r="AL156" s="105"/>
      <c r="AM156" s="105"/>
    </row>
    <row r="157" spans="1:39" ht="15">
      <c r="A157" s="62" t="s">
        <v>259</v>
      </c>
      <c r="B157" s="62" t="s">
        <v>248</v>
      </c>
      <c r="C157" s="63" t="s">
        <v>3604</v>
      </c>
      <c r="D157" s="64">
        <v>10</v>
      </c>
      <c r="E157" s="65" t="s">
        <v>136</v>
      </c>
      <c r="F157" s="66">
        <v>20.71698113207547</v>
      </c>
      <c r="G157" s="63"/>
      <c r="H157" s="67"/>
      <c r="I157" s="68"/>
      <c r="J157" s="68"/>
      <c r="K157" s="31" t="s">
        <v>65</v>
      </c>
      <c r="L157" s="76">
        <v>157</v>
      </c>
      <c r="M157" s="76"/>
      <c r="N157" s="70"/>
      <c r="O157" s="78" t="s">
        <v>305</v>
      </c>
      <c r="P157" s="78" t="s">
        <v>360</v>
      </c>
      <c r="Q157" s="78" t="s">
        <v>739</v>
      </c>
      <c r="R157" s="78" t="s">
        <v>1309</v>
      </c>
      <c r="S157" s="78"/>
      <c r="T157" s="78"/>
      <c r="U157" s="78"/>
      <c r="V157" s="78"/>
      <c r="W157" s="81" t="s">
        <v>1674</v>
      </c>
      <c r="X157" s="81" t="s">
        <v>1674</v>
      </c>
      <c r="Y157" s="78"/>
      <c r="Z157" s="78"/>
      <c r="AA157" s="81" t="s">
        <v>1674</v>
      </c>
      <c r="AB157" s="79">
        <v>24</v>
      </c>
      <c r="AC157" s="80" t="str">
        <f>REPLACE(INDEX(GroupVertices[Group],MATCH("~"&amp;Edges[[#This Row],[Vertex 1]],GroupVertices[Vertex],0)),1,1,"")</f>
        <v>1</v>
      </c>
      <c r="AD157" s="80" t="str">
        <f>REPLACE(INDEX(GroupVertices[Group],MATCH("~"&amp;Edges[[#This Row],[Vertex 2]],GroupVertices[Vertex],0)),1,1,"")</f>
        <v>1</v>
      </c>
      <c r="AE157" s="105"/>
      <c r="AF157" s="105"/>
      <c r="AG157" s="105"/>
      <c r="AH157" s="105"/>
      <c r="AI157" s="105"/>
      <c r="AJ157" s="105"/>
      <c r="AK157" s="105"/>
      <c r="AL157" s="105"/>
      <c r="AM157" s="105"/>
    </row>
    <row r="158" spans="1:39" ht="15">
      <c r="A158" s="62" t="s">
        <v>259</v>
      </c>
      <c r="B158" s="62" t="s">
        <v>248</v>
      </c>
      <c r="C158" s="63" t="s">
        <v>3604</v>
      </c>
      <c r="D158" s="64">
        <v>10</v>
      </c>
      <c r="E158" s="65" t="s">
        <v>136</v>
      </c>
      <c r="F158" s="66">
        <v>20.71698113207547</v>
      </c>
      <c r="G158" s="63"/>
      <c r="H158" s="67"/>
      <c r="I158" s="68"/>
      <c r="J158" s="68"/>
      <c r="K158" s="31" t="s">
        <v>65</v>
      </c>
      <c r="L158" s="76">
        <v>158</v>
      </c>
      <c r="M158" s="76"/>
      <c r="N158" s="70"/>
      <c r="O158" s="78" t="s">
        <v>305</v>
      </c>
      <c r="P158" s="78" t="s">
        <v>360</v>
      </c>
      <c r="Q158" s="78" t="s">
        <v>739</v>
      </c>
      <c r="R158" s="78" t="s">
        <v>1310</v>
      </c>
      <c r="S158" s="78"/>
      <c r="T158" s="78"/>
      <c r="U158" s="78"/>
      <c r="V158" s="78"/>
      <c r="W158" s="81" t="s">
        <v>1674</v>
      </c>
      <c r="X158" s="81" t="s">
        <v>1674</v>
      </c>
      <c r="Y158" s="78"/>
      <c r="Z158" s="78"/>
      <c r="AA158" s="81" t="s">
        <v>1674</v>
      </c>
      <c r="AB158" s="79">
        <v>24</v>
      </c>
      <c r="AC158" s="80" t="str">
        <f>REPLACE(INDEX(GroupVertices[Group],MATCH("~"&amp;Edges[[#This Row],[Vertex 1]],GroupVertices[Vertex],0)),1,1,"")</f>
        <v>1</v>
      </c>
      <c r="AD158" s="80" t="str">
        <f>REPLACE(INDEX(GroupVertices[Group],MATCH("~"&amp;Edges[[#This Row],[Vertex 2]],GroupVertices[Vertex],0)),1,1,"")</f>
        <v>1</v>
      </c>
      <c r="AE158" s="105"/>
      <c r="AF158" s="105"/>
      <c r="AG158" s="105"/>
      <c r="AH158" s="105"/>
      <c r="AI158" s="105"/>
      <c r="AJ158" s="105"/>
      <c r="AK158" s="105"/>
      <c r="AL158" s="105"/>
      <c r="AM158" s="105"/>
    </row>
    <row r="159" spans="1:39" ht="15">
      <c r="A159" s="62" t="s">
        <v>259</v>
      </c>
      <c r="B159" s="62" t="s">
        <v>248</v>
      </c>
      <c r="C159" s="63" t="s">
        <v>3604</v>
      </c>
      <c r="D159" s="64">
        <v>10</v>
      </c>
      <c r="E159" s="65" t="s">
        <v>136</v>
      </c>
      <c r="F159" s="66">
        <v>20.71698113207547</v>
      </c>
      <c r="G159" s="63"/>
      <c r="H159" s="67"/>
      <c r="I159" s="68"/>
      <c r="J159" s="68"/>
      <c r="K159" s="31" t="s">
        <v>65</v>
      </c>
      <c r="L159" s="76">
        <v>159</v>
      </c>
      <c r="M159" s="76"/>
      <c r="N159" s="70"/>
      <c r="O159" s="78" t="s">
        <v>305</v>
      </c>
      <c r="P159" s="78" t="s">
        <v>360</v>
      </c>
      <c r="Q159" s="78" t="s">
        <v>740</v>
      </c>
      <c r="R159" s="78" t="s">
        <v>1307</v>
      </c>
      <c r="S159" s="78"/>
      <c r="T159" s="78"/>
      <c r="U159" s="78"/>
      <c r="V159" s="78"/>
      <c r="W159" s="81" t="s">
        <v>1674</v>
      </c>
      <c r="X159" s="81" t="s">
        <v>1674</v>
      </c>
      <c r="Y159" s="78"/>
      <c r="Z159" s="78"/>
      <c r="AA159" s="81" t="s">
        <v>1674</v>
      </c>
      <c r="AB159" s="79">
        <v>24</v>
      </c>
      <c r="AC159" s="80" t="str">
        <f>REPLACE(INDEX(GroupVertices[Group],MATCH("~"&amp;Edges[[#This Row],[Vertex 1]],GroupVertices[Vertex],0)),1,1,"")</f>
        <v>1</v>
      </c>
      <c r="AD159" s="80" t="str">
        <f>REPLACE(INDEX(GroupVertices[Group],MATCH("~"&amp;Edges[[#This Row],[Vertex 2]],GroupVertices[Vertex],0)),1,1,"")</f>
        <v>1</v>
      </c>
      <c r="AE159" s="105"/>
      <c r="AF159" s="105"/>
      <c r="AG159" s="105"/>
      <c r="AH159" s="105"/>
      <c r="AI159" s="105"/>
      <c r="AJ159" s="105"/>
      <c r="AK159" s="105"/>
      <c r="AL159" s="105"/>
      <c r="AM159" s="105"/>
    </row>
    <row r="160" spans="1:39" ht="15">
      <c r="A160" s="62" t="s">
        <v>259</v>
      </c>
      <c r="B160" s="62" t="s">
        <v>248</v>
      </c>
      <c r="C160" s="63" t="s">
        <v>3604</v>
      </c>
      <c r="D160" s="64">
        <v>10</v>
      </c>
      <c r="E160" s="65" t="s">
        <v>136</v>
      </c>
      <c r="F160" s="66">
        <v>20.71698113207547</v>
      </c>
      <c r="G160" s="63"/>
      <c r="H160" s="67"/>
      <c r="I160" s="68"/>
      <c r="J160" s="68"/>
      <c r="K160" s="31" t="s">
        <v>65</v>
      </c>
      <c r="L160" s="76">
        <v>160</v>
      </c>
      <c r="M160" s="76"/>
      <c r="N160" s="70"/>
      <c r="O160" s="78" t="s">
        <v>305</v>
      </c>
      <c r="P160" s="78" t="s">
        <v>360</v>
      </c>
      <c r="Q160" s="78" t="s">
        <v>740</v>
      </c>
      <c r="R160" s="78" t="s">
        <v>1308</v>
      </c>
      <c r="S160" s="78"/>
      <c r="T160" s="78"/>
      <c r="U160" s="78"/>
      <c r="V160" s="78"/>
      <c r="W160" s="81" t="s">
        <v>1674</v>
      </c>
      <c r="X160" s="81" t="s">
        <v>1674</v>
      </c>
      <c r="Y160" s="78"/>
      <c r="Z160" s="78"/>
      <c r="AA160" s="81" t="s">
        <v>1674</v>
      </c>
      <c r="AB160" s="79">
        <v>24</v>
      </c>
      <c r="AC160" s="80" t="str">
        <f>REPLACE(INDEX(GroupVertices[Group],MATCH("~"&amp;Edges[[#This Row],[Vertex 1]],GroupVertices[Vertex],0)),1,1,"")</f>
        <v>1</v>
      </c>
      <c r="AD160" s="80" t="str">
        <f>REPLACE(INDEX(GroupVertices[Group],MATCH("~"&amp;Edges[[#This Row],[Vertex 2]],GroupVertices[Vertex],0)),1,1,"")</f>
        <v>1</v>
      </c>
      <c r="AE160" s="105"/>
      <c r="AF160" s="105"/>
      <c r="AG160" s="105"/>
      <c r="AH160" s="105"/>
      <c r="AI160" s="105"/>
      <c r="AJ160" s="105"/>
      <c r="AK160" s="105"/>
      <c r="AL160" s="105"/>
      <c r="AM160" s="105"/>
    </row>
    <row r="161" spans="1:39" ht="15">
      <c r="A161" s="62" t="s">
        <v>259</v>
      </c>
      <c r="B161" s="62" t="s">
        <v>248</v>
      </c>
      <c r="C161" s="63" t="s">
        <v>3604</v>
      </c>
      <c r="D161" s="64">
        <v>10</v>
      </c>
      <c r="E161" s="65" t="s">
        <v>136</v>
      </c>
      <c r="F161" s="66">
        <v>20.71698113207547</v>
      </c>
      <c r="G161" s="63"/>
      <c r="H161" s="67"/>
      <c r="I161" s="68"/>
      <c r="J161" s="68"/>
      <c r="K161" s="31" t="s">
        <v>65</v>
      </c>
      <c r="L161" s="76">
        <v>161</v>
      </c>
      <c r="M161" s="76"/>
      <c r="N161" s="70"/>
      <c r="O161" s="78" t="s">
        <v>305</v>
      </c>
      <c r="P161" s="78" t="s">
        <v>360</v>
      </c>
      <c r="Q161" s="78" t="s">
        <v>740</v>
      </c>
      <c r="R161" s="78" t="s">
        <v>1309</v>
      </c>
      <c r="S161" s="78"/>
      <c r="T161" s="78"/>
      <c r="U161" s="78"/>
      <c r="V161" s="78"/>
      <c r="W161" s="81" t="s">
        <v>1674</v>
      </c>
      <c r="X161" s="81" t="s">
        <v>1674</v>
      </c>
      <c r="Y161" s="78"/>
      <c r="Z161" s="78"/>
      <c r="AA161" s="81" t="s">
        <v>1674</v>
      </c>
      <c r="AB161" s="79">
        <v>24</v>
      </c>
      <c r="AC161" s="80" t="str">
        <f>REPLACE(INDEX(GroupVertices[Group],MATCH("~"&amp;Edges[[#This Row],[Vertex 1]],GroupVertices[Vertex],0)),1,1,"")</f>
        <v>1</v>
      </c>
      <c r="AD161" s="80" t="str">
        <f>REPLACE(INDEX(GroupVertices[Group],MATCH("~"&amp;Edges[[#This Row],[Vertex 2]],GroupVertices[Vertex],0)),1,1,"")</f>
        <v>1</v>
      </c>
      <c r="AE161" s="105"/>
      <c r="AF161" s="105"/>
      <c r="AG161" s="105"/>
      <c r="AH161" s="105"/>
      <c r="AI161" s="105"/>
      <c r="AJ161" s="105"/>
      <c r="AK161" s="105"/>
      <c r="AL161" s="105"/>
      <c r="AM161" s="105"/>
    </row>
    <row r="162" spans="1:39" ht="15">
      <c r="A162" s="62" t="s">
        <v>259</v>
      </c>
      <c r="B162" s="62" t="s">
        <v>248</v>
      </c>
      <c r="C162" s="63" t="s">
        <v>3604</v>
      </c>
      <c r="D162" s="64">
        <v>10</v>
      </c>
      <c r="E162" s="65" t="s">
        <v>136</v>
      </c>
      <c r="F162" s="66">
        <v>20.71698113207547</v>
      </c>
      <c r="G162" s="63"/>
      <c r="H162" s="67"/>
      <c r="I162" s="68"/>
      <c r="J162" s="68"/>
      <c r="K162" s="31" t="s">
        <v>65</v>
      </c>
      <c r="L162" s="76">
        <v>162</v>
      </c>
      <c r="M162" s="76"/>
      <c r="N162" s="70"/>
      <c r="O162" s="78" t="s">
        <v>305</v>
      </c>
      <c r="P162" s="78" t="s">
        <v>360</v>
      </c>
      <c r="Q162" s="78" t="s">
        <v>740</v>
      </c>
      <c r="R162" s="78" t="s">
        <v>1310</v>
      </c>
      <c r="S162" s="78"/>
      <c r="T162" s="78"/>
      <c r="U162" s="78"/>
      <c r="V162" s="78"/>
      <c r="W162" s="81" t="s">
        <v>1674</v>
      </c>
      <c r="X162" s="81" t="s">
        <v>1674</v>
      </c>
      <c r="Y162" s="78"/>
      <c r="Z162" s="78"/>
      <c r="AA162" s="81" t="s">
        <v>1674</v>
      </c>
      <c r="AB162" s="79">
        <v>24</v>
      </c>
      <c r="AC162" s="80" t="str">
        <f>REPLACE(INDEX(GroupVertices[Group],MATCH("~"&amp;Edges[[#This Row],[Vertex 1]],GroupVertices[Vertex],0)),1,1,"")</f>
        <v>1</v>
      </c>
      <c r="AD162" s="80" t="str">
        <f>REPLACE(INDEX(GroupVertices[Group],MATCH("~"&amp;Edges[[#This Row],[Vertex 2]],GroupVertices[Vertex],0)),1,1,"")</f>
        <v>1</v>
      </c>
      <c r="AE162" s="105"/>
      <c r="AF162" s="105"/>
      <c r="AG162" s="105"/>
      <c r="AH162" s="105"/>
      <c r="AI162" s="105"/>
      <c r="AJ162" s="105"/>
      <c r="AK162" s="105"/>
      <c r="AL162" s="105"/>
      <c r="AM162" s="105"/>
    </row>
    <row r="163" spans="1:39" ht="15">
      <c r="A163" s="62" t="s">
        <v>259</v>
      </c>
      <c r="B163" s="62" t="s">
        <v>248</v>
      </c>
      <c r="C163" s="63" t="s">
        <v>3604</v>
      </c>
      <c r="D163" s="64">
        <v>10</v>
      </c>
      <c r="E163" s="65" t="s">
        <v>136</v>
      </c>
      <c r="F163" s="66">
        <v>20.71698113207547</v>
      </c>
      <c r="G163" s="63"/>
      <c r="H163" s="67"/>
      <c r="I163" s="68"/>
      <c r="J163" s="68"/>
      <c r="K163" s="31" t="s">
        <v>65</v>
      </c>
      <c r="L163" s="76">
        <v>163</v>
      </c>
      <c r="M163" s="76"/>
      <c r="N163" s="70"/>
      <c r="O163" s="78" t="s">
        <v>305</v>
      </c>
      <c r="P163" s="78" t="s">
        <v>364</v>
      </c>
      <c r="Q163" s="78" t="s">
        <v>741</v>
      </c>
      <c r="R163" s="78" t="s">
        <v>1314</v>
      </c>
      <c r="S163" s="78"/>
      <c r="T163" s="78"/>
      <c r="U163" s="78"/>
      <c r="V163" s="78"/>
      <c r="W163" s="81" t="s">
        <v>1674</v>
      </c>
      <c r="X163" s="81" t="s">
        <v>1674</v>
      </c>
      <c r="Y163" s="78"/>
      <c r="Z163" s="78"/>
      <c r="AA163" s="81" t="s">
        <v>1674</v>
      </c>
      <c r="AB163" s="79">
        <v>24</v>
      </c>
      <c r="AC163" s="80" t="str">
        <f>REPLACE(INDEX(GroupVertices[Group],MATCH("~"&amp;Edges[[#This Row],[Vertex 1]],GroupVertices[Vertex],0)),1,1,"")</f>
        <v>1</v>
      </c>
      <c r="AD163" s="80" t="str">
        <f>REPLACE(INDEX(GroupVertices[Group],MATCH("~"&amp;Edges[[#This Row],[Vertex 2]],GroupVertices[Vertex],0)),1,1,"")</f>
        <v>1</v>
      </c>
      <c r="AE163" s="105"/>
      <c r="AF163" s="105"/>
      <c r="AG163" s="105"/>
      <c r="AH163" s="105"/>
      <c r="AI163" s="105"/>
      <c r="AJ163" s="105"/>
      <c r="AK163" s="105"/>
      <c r="AL163" s="105"/>
      <c r="AM163" s="105"/>
    </row>
    <row r="164" spans="1:39" ht="15">
      <c r="A164" s="62" t="s">
        <v>259</v>
      </c>
      <c r="B164" s="62" t="s">
        <v>248</v>
      </c>
      <c r="C164" s="63" t="s">
        <v>3604</v>
      </c>
      <c r="D164" s="64">
        <v>10</v>
      </c>
      <c r="E164" s="65" t="s">
        <v>136</v>
      </c>
      <c r="F164" s="66">
        <v>20.71698113207547</v>
      </c>
      <c r="G164" s="63"/>
      <c r="H164" s="67"/>
      <c r="I164" s="68"/>
      <c r="J164" s="68"/>
      <c r="K164" s="31" t="s">
        <v>65</v>
      </c>
      <c r="L164" s="76">
        <v>164</v>
      </c>
      <c r="M164" s="76"/>
      <c r="N164" s="70"/>
      <c r="O164" s="78" t="s">
        <v>305</v>
      </c>
      <c r="P164" s="78" t="s">
        <v>365</v>
      </c>
      <c r="Q164" s="78" t="s">
        <v>742</v>
      </c>
      <c r="R164" s="78" t="s">
        <v>1315</v>
      </c>
      <c r="S164" s="78"/>
      <c r="T164" s="78"/>
      <c r="U164" s="78"/>
      <c r="V164" s="78"/>
      <c r="W164" s="81" t="s">
        <v>1674</v>
      </c>
      <c r="X164" s="81" t="s">
        <v>1674</v>
      </c>
      <c r="Y164" s="78"/>
      <c r="Z164" s="78"/>
      <c r="AA164" s="81" t="s">
        <v>1674</v>
      </c>
      <c r="AB164" s="79">
        <v>24</v>
      </c>
      <c r="AC164" s="80" t="str">
        <f>REPLACE(INDEX(GroupVertices[Group],MATCH("~"&amp;Edges[[#This Row],[Vertex 1]],GroupVertices[Vertex],0)),1,1,"")</f>
        <v>1</v>
      </c>
      <c r="AD164" s="80" t="str">
        <f>REPLACE(INDEX(GroupVertices[Group],MATCH("~"&amp;Edges[[#This Row],[Vertex 2]],GroupVertices[Vertex],0)),1,1,"")</f>
        <v>1</v>
      </c>
      <c r="AE164" s="105"/>
      <c r="AF164" s="105"/>
      <c r="AG164" s="105"/>
      <c r="AH164" s="105"/>
      <c r="AI164" s="105"/>
      <c r="AJ164" s="105"/>
      <c r="AK164" s="105"/>
      <c r="AL164" s="105"/>
      <c r="AM164" s="105"/>
    </row>
    <row r="165" spans="1:39" ht="15">
      <c r="A165" s="62" t="s">
        <v>259</v>
      </c>
      <c r="B165" s="62" t="s">
        <v>248</v>
      </c>
      <c r="C165" s="63" t="s">
        <v>3604</v>
      </c>
      <c r="D165" s="64">
        <v>10</v>
      </c>
      <c r="E165" s="65" t="s">
        <v>136</v>
      </c>
      <c r="F165" s="66">
        <v>20.71698113207547</v>
      </c>
      <c r="G165" s="63"/>
      <c r="H165" s="67"/>
      <c r="I165" s="68"/>
      <c r="J165" s="68"/>
      <c r="K165" s="31" t="s">
        <v>65</v>
      </c>
      <c r="L165" s="76">
        <v>165</v>
      </c>
      <c r="M165" s="76"/>
      <c r="N165" s="70"/>
      <c r="O165" s="78" t="s">
        <v>305</v>
      </c>
      <c r="P165" s="78" t="s">
        <v>365</v>
      </c>
      <c r="Q165" s="78" t="s">
        <v>742</v>
      </c>
      <c r="R165" s="78" t="s">
        <v>1316</v>
      </c>
      <c r="S165" s="78"/>
      <c r="T165" s="78"/>
      <c r="U165" s="78"/>
      <c r="V165" s="78"/>
      <c r="W165" s="81" t="s">
        <v>1674</v>
      </c>
      <c r="X165" s="81" t="s">
        <v>1674</v>
      </c>
      <c r="Y165" s="78"/>
      <c r="Z165" s="78"/>
      <c r="AA165" s="81" t="s">
        <v>1674</v>
      </c>
      <c r="AB165" s="79">
        <v>24</v>
      </c>
      <c r="AC165" s="80" t="str">
        <f>REPLACE(INDEX(GroupVertices[Group],MATCH("~"&amp;Edges[[#This Row],[Vertex 1]],GroupVertices[Vertex],0)),1,1,"")</f>
        <v>1</v>
      </c>
      <c r="AD165" s="80" t="str">
        <f>REPLACE(INDEX(GroupVertices[Group],MATCH("~"&amp;Edges[[#This Row],[Vertex 2]],GroupVertices[Vertex],0)),1,1,"")</f>
        <v>1</v>
      </c>
      <c r="AE165" s="105"/>
      <c r="AF165" s="105"/>
      <c r="AG165" s="105"/>
      <c r="AH165" s="105"/>
      <c r="AI165" s="105"/>
      <c r="AJ165" s="105"/>
      <c r="AK165" s="105"/>
      <c r="AL165" s="105"/>
      <c r="AM165" s="105"/>
    </row>
    <row r="166" spans="1:39" ht="15">
      <c r="A166" s="62" t="s">
        <v>259</v>
      </c>
      <c r="B166" s="62" t="s">
        <v>248</v>
      </c>
      <c r="C166" s="63" t="s">
        <v>3604</v>
      </c>
      <c r="D166" s="64">
        <v>10</v>
      </c>
      <c r="E166" s="65" t="s">
        <v>136</v>
      </c>
      <c r="F166" s="66">
        <v>20.71698113207547</v>
      </c>
      <c r="G166" s="63"/>
      <c r="H166" s="67"/>
      <c r="I166" s="68"/>
      <c r="J166" s="68"/>
      <c r="K166" s="31" t="s">
        <v>65</v>
      </c>
      <c r="L166" s="76">
        <v>166</v>
      </c>
      <c r="M166" s="76"/>
      <c r="N166" s="70"/>
      <c r="O166" s="78" t="s">
        <v>305</v>
      </c>
      <c r="P166" s="78" t="s">
        <v>360</v>
      </c>
      <c r="Q166" s="78" t="s">
        <v>743</v>
      </c>
      <c r="R166" s="78" t="s">
        <v>1307</v>
      </c>
      <c r="S166" s="78"/>
      <c r="T166" s="78"/>
      <c r="U166" s="78"/>
      <c r="V166" s="78"/>
      <c r="W166" s="81" t="s">
        <v>1674</v>
      </c>
      <c r="X166" s="81" t="s">
        <v>1674</v>
      </c>
      <c r="Y166" s="78"/>
      <c r="Z166" s="78"/>
      <c r="AA166" s="81" t="s">
        <v>1674</v>
      </c>
      <c r="AB166" s="79">
        <v>24</v>
      </c>
      <c r="AC166" s="80" t="str">
        <f>REPLACE(INDEX(GroupVertices[Group],MATCH("~"&amp;Edges[[#This Row],[Vertex 1]],GroupVertices[Vertex],0)),1,1,"")</f>
        <v>1</v>
      </c>
      <c r="AD166" s="80" t="str">
        <f>REPLACE(INDEX(GroupVertices[Group],MATCH("~"&amp;Edges[[#This Row],[Vertex 2]],GroupVertices[Vertex],0)),1,1,"")</f>
        <v>1</v>
      </c>
      <c r="AE166" s="105"/>
      <c r="AF166" s="105"/>
      <c r="AG166" s="105"/>
      <c r="AH166" s="105"/>
      <c r="AI166" s="105"/>
      <c r="AJ166" s="105"/>
      <c r="AK166" s="105"/>
      <c r="AL166" s="105"/>
      <c r="AM166" s="105"/>
    </row>
    <row r="167" spans="1:39" ht="15">
      <c r="A167" s="62" t="s">
        <v>259</v>
      </c>
      <c r="B167" s="62" t="s">
        <v>248</v>
      </c>
      <c r="C167" s="63" t="s">
        <v>3604</v>
      </c>
      <c r="D167" s="64">
        <v>10</v>
      </c>
      <c r="E167" s="65" t="s">
        <v>136</v>
      </c>
      <c r="F167" s="66">
        <v>20.71698113207547</v>
      </c>
      <c r="G167" s="63"/>
      <c r="H167" s="67"/>
      <c r="I167" s="68"/>
      <c r="J167" s="68"/>
      <c r="K167" s="31" t="s">
        <v>65</v>
      </c>
      <c r="L167" s="76">
        <v>167</v>
      </c>
      <c r="M167" s="76"/>
      <c r="N167" s="70"/>
      <c r="O167" s="78" t="s">
        <v>305</v>
      </c>
      <c r="P167" s="78" t="s">
        <v>360</v>
      </c>
      <c r="Q167" s="78" t="s">
        <v>743</v>
      </c>
      <c r="R167" s="78" t="s">
        <v>1308</v>
      </c>
      <c r="S167" s="78"/>
      <c r="T167" s="78"/>
      <c r="U167" s="78"/>
      <c r="V167" s="78"/>
      <c r="W167" s="81" t="s">
        <v>1674</v>
      </c>
      <c r="X167" s="81" t="s">
        <v>1674</v>
      </c>
      <c r="Y167" s="78"/>
      <c r="Z167" s="78"/>
      <c r="AA167" s="81" t="s">
        <v>1674</v>
      </c>
      <c r="AB167" s="79">
        <v>24</v>
      </c>
      <c r="AC167" s="80" t="str">
        <f>REPLACE(INDEX(GroupVertices[Group],MATCH("~"&amp;Edges[[#This Row],[Vertex 1]],GroupVertices[Vertex],0)),1,1,"")</f>
        <v>1</v>
      </c>
      <c r="AD167" s="80" t="str">
        <f>REPLACE(INDEX(GroupVertices[Group],MATCH("~"&amp;Edges[[#This Row],[Vertex 2]],GroupVertices[Vertex],0)),1,1,"")</f>
        <v>1</v>
      </c>
      <c r="AE167" s="105"/>
      <c r="AF167" s="105"/>
      <c r="AG167" s="105"/>
      <c r="AH167" s="105"/>
      <c r="AI167" s="105"/>
      <c r="AJ167" s="105"/>
      <c r="AK167" s="105"/>
      <c r="AL167" s="105"/>
      <c r="AM167" s="105"/>
    </row>
    <row r="168" spans="1:39" ht="15">
      <c r="A168" s="62" t="s">
        <v>259</v>
      </c>
      <c r="B168" s="62" t="s">
        <v>248</v>
      </c>
      <c r="C168" s="63" t="s">
        <v>3604</v>
      </c>
      <c r="D168" s="64">
        <v>10</v>
      </c>
      <c r="E168" s="65" t="s">
        <v>136</v>
      </c>
      <c r="F168" s="66">
        <v>20.71698113207547</v>
      </c>
      <c r="G168" s="63"/>
      <c r="H168" s="67"/>
      <c r="I168" s="68"/>
      <c r="J168" s="68"/>
      <c r="K168" s="31" t="s">
        <v>65</v>
      </c>
      <c r="L168" s="76">
        <v>168</v>
      </c>
      <c r="M168" s="76"/>
      <c r="N168" s="70"/>
      <c r="O168" s="78" t="s">
        <v>305</v>
      </c>
      <c r="P168" s="78" t="s">
        <v>360</v>
      </c>
      <c r="Q168" s="78" t="s">
        <v>743</v>
      </c>
      <c r="R168" s="78" t="s">
        <v>1309</v>
      </c>
      <c r="S168" s="78"/>
      <c r="T168" s="78"/>
      <c r="U168" s="78"/>
      <c r="V168" s="78"/>
      <c r="W168" s="81" t="s">
        <v>1674</v>
      </c>
      <c r="X168" s="81" t="s">
        <v>1674</v>
      </c>
      <c r="Y168" s="78"/>
      <c r="Z168" s="78"/>
      <c r="AA168" s="81" t="s">
        <v>1674</v>
      </c>
      <c r="AB168" s="79">
        <v>24</v>
      </c>
      <c r="AC168" s="80" t="str">
        <f>REPLACE(INDEX(GroupVertices[Group],MATCH("~"&amp;Edges[[#This Row],[Vertex 1]],GroupVertices[Vertex],0)),1,1,"")</f>
        <v>1</v>
      </c>
      <c r="AD168" s="80" t="str">
        <f>REPLACE(INDEX(GroupVertices[Group],MATCH("~"&amp;Edges[[#This Row],[Vertex 2]],GroupVertices[Vertex],0)),1,1,"")</f>
        <v>1</v>
      </c>
      <c r="AE168" s="105"/>
      <c r="AF168" s="105"/>
      <c r="AG168" s="105"/>
      <c r="AH168" s="105"/>
      <c r="AI168" s="105"/>
      <c r="AJ168" s="105"/>
      <c r="AK168" s="105"/>
      <c r="AL168" s="105"/>
      <c r="AM168" s="105"/>
    </row>
    <row r="169" spans="1:39" ht="15">
      <c r="A169" s="62" t="s">
        <v>259</v>
      </c>
      <c r="B169" s="62" t="s">
        <v>248</v>
      </c>
      <c r="C169" s="63" t="s">
        <v>3604</v>
      </c>
      <c r="D169" s="64">
        <v>10</v>
      </c>
      <c r="E169" s="65" t="s">
        <v>136</v>
      </c>
      <c r="F169" s="66">
        <v>20.71698113207547</v>
      </c>
      <c r="G169" s="63"/>
      <c r="H169" s="67"/>
      <c r="I169" s="68"/>
      <c r="J169" s="68"/>
      <c r="K169" s="31" t="s">
        <v>65</v>
      </c>
      <c r="L169" s="76">
        <v>169</v>
      </c>
      <c r="M169" s="76"/>
      <c r="N169" s="70"/>
      <c r="O169" s="78" t="s">
        <v>305</v>
      </c>
      <c r="P169" s="78" t="s">
        <v>360</v>
      </c>
      <c r="Q169" s="78" t="s">
        <v>743</v>
      </c>
      <c r="R169" s="78" t="s">
        <v>1310</v>
      </c>
      <c r="S169" s="78"/>
      <c r="T169" s="78"/>
      <c r="U169" s="78"/>
      <c r="V169" s="78"/>
      <c r="W169" s="81" t="s">
        <v>1674</v>
      </c>
      <c r="X169" s="81" t="s">
        <v>1674</v>
      </c>
      <c r="Y169" s="78"/>
      <c r="Z169" s="78"/>
      <c r="AA169" s="81" t="s">
        <v>1674</v>
      </c>
      <c r="AB169" s="79">
        <v>24</v>
      </c>
      <c r="AC169" s="80" t="str">
        <f>REPLACE(INDEX(GroupVertices[Group],MATCH("~"&amp;Edges[[#This Row],[Vertex 1]],GroupVertices[Vertex],0)),1,1,"")</f>
        <v>1</v>
      </c>
      <c r="AD169" s="80" t="str">
        <f>REPLACE(INDEX(GroupVertices[Group],MATCH("~"&amp;Edges[[#This Row],[Vertex 2]],GroupVertices[Vertex],0)),1,1,"")</f>
        <v>1</v>
      </c>
      <c r="AE169" s="105"/>
      <c r="AF169" s="105"/>
      <c r="AG169" s="105"/>
      <c r="AH169" s="105"/>
      <c r="AI169" s="105"/>
      <c r="AJ169" s="105"/>
      <c r="AK169" s="105"/>
      <c r="AL169" s="105"/>
      <c r="AM169" s="105"/>
    </row>
    <row r="170" spans="1:39" ht="15">
      <c r="A170" s="62" t="s">
        <v>259</v>
      </c>
      <c r="B170" s="62" t="s">
        <v>248</v>
      </c>
      <c r="C170" s="63" t="s">
        <v>3604</v>
      </c>
      <c r="D170" s="64">
        <v>10</v>
      </c>
      <c r="E170" s="65" t="s">
        <v>136</v>
      </c>
      <c r="F170" s="66">
        <v>20.71698113207547</v>
      </c>
      <c r="G170" s="63"/>
      <c r="H170" s="67"/>
      <c r="I170" s="68"/>
      <c r="J170" s="68"/>
      <c r="K170" s="31" t="s">
        <v>65</v>
      </c>
      <c r="L170" s="76">
        <v>170</v>
      </c>
      <c r="M170" s="76"/>
      <c r="N170" s="70"/>
      <c r="O170" s="78" t="s">
        <v>305</v>
      </c>
      <c r="P170" s="78" t="s">
        <v>365</v>
      </c>
      <c r="Q170" s="78" t="s">
        <v>744</v>
      </c>
      <c r="R170" s="78" t="s">
        <v>1315</v>
      </c>
      <c r="S170" s="78"/>
      <c r="T170" s="78"/>
      <c r="U170" s="78"/>
      <c r="V170" s="78"/>
      <c r="W170" s="81" t="s">
        <v>1674</v>
      </c>
      <c r="X170" s="81" t="s">
        <v>1674</v>
      </c>
      <c r="Y170" s="78"/>
      <c r="Z170" s="78"/>
      <c r="AA170" s="81" t="s">
        <v>1674</v>
      </c>
      <c r="AB170" s="79">
        <v>24</v>
      </c>
      <c r="AC170" s="80" t="str">
        <f>REPLACE(INDEX(GroupVertices[Group],MATCH("~"&amp;Edges[[#This Row],[Vertex 1]],GroupVertices[Vertex],0)),1,1,"")</f>
        <v>1</v>
      </c>
      <c r="AD170" s="80" t="str">
        <f>REPLACE(INDEX(GroupVertices[Group],MATCH("~"&amp;Edges[[#This Row],[Vertex 2]],GroupVertices[Vertex],0)),1,1,"")</f>
        <v>1</v>
      </c>
      <c r="AE170" s="105"/>
      <c r="AF170" s="105"/>
      <c r="AG170" s="105"/>
      <c r="AH170" s="105"/>
      <c r="AI170" s="105"/>
      <c r="AJ170" s="105"/>
      <c r="AK170" s="105"/>
      <c r="AL170" s="105"/>
      <c r="AM170" s="105"/>
    </row>
    <row r="171" spans="1:39" ht="15">
      <c r="A171" s="62" t="s">
        <v>259</v>
      </c>
      <c r="B171" s="62" t="s">
        <v>248</v>
      </c>
      <c r="C171" s="63" t="s">
        <v>3604</v>
      </c>
      <c r="D171" s="64">
        <v>10</v>
      </c>
      <c r="E171" s="65" t="s">
        <v>136</v>
      </c>
      <c r="F171" s="66">
        <v>20.71698113207547</v>
      </c>
      <c r="G171" s="63"/>
      <c r="H171" s="67"/>
      <c r="I171" s="68"/>
      <c r="J171" s="68"/>
      <c r="K171" s="31" t="s">
        <v>65</v>
      </c>
      <c r="L171" s="76">
        <v>171</v>
      </c>
      <c r="M171" s="76"/>
      <c r="N171" s="70"/>
      <c r="O171" s="78" t="s">
        <v>305</v>
      </c>
      <c r="P171" s="78" t="s">
        <v>365</v>
      </c>
      <c r="Q171" s="78" t="s">
        <v>744</v>
      </c>
      <c r="R171" s="78" t="s">
        <v>1316</v>
      </c>
      <c r="S171" s="78"/>
      <c r="T171" s="78"/>
      <c r="U171" s="78"/>
      <c r="V171" s="78"/>
      <c r="W171" s="81" t="s">
        <v>1674</v>
      </c>
      <c r="X171" s="81" t="s">
        <v>1674</v>
      </c>
      <c r="Y171" s="78"/>
      <c r="Z171" s="78"/>
      <c r="AA171" s="81" t="s">
        <v>1674</v>
      </c>
      <c r="AB171" s="79">
        <v>24</v>
      </c>
      <c r="AC171" s="80" t="str">
        <f>REPLACE(INDEX(GroupVertices[Group],MATCH("~"&amp;Edges[[#This Row],[Vertex 1]],GroupVertices[Vertex],0)),1,1,"")</f>
        <v>1</v>
      </c>
      <c r="AD171" s="80" t="str">
        <f>REPLACE(INDEX(GroupVertices[Group],MATCH("~"&amp;Edges[[#This Row],[Vertex 2]],GroupVertices[Vertex],0)),1,1,"")</f>
        <v>1</v>
      </c>
      <c r="AE171" s="105"/>
      <c r="AF171" s="105"/>
      <c r="AG171" s="105"/>
      <c r="AH171" s="105"/>
      <c r="AI171" s="105"/>
      <c r="AJ171" s="105"/>
      <c r="AK171" s="105"/>
      <c r="AL171" s="105"/>
      <c r="AM171" s="105"/>
    </row>
    <row r="172" spans="1:39" ht="15">
      <c r="A172" s="62" t="s">
        <v>259</v>
      </c>
      <c r="B172" s="62" t="s">
        <v>248</v>
      </c>
      <c r="C172" s="63" t="s">
        <v>3604</v>
      </c>
      <c r="D172" s="64">
        <v>10</v>
      </c>
      <c r="E172" s="65" t="s">
        <v>136</v>
      </c>
      <c r="F172" s="66">
        <v>20.71698113207547</v>
      </c>
      <c r="G172" s="63"/>
      <c r="H172" s="67"/>
      <c r="I172" s="68"/>
      <c r="J172" s="68"/>
      <c r="K172" s="31" t="s">
        <v>65</v>
      </c>
      <c r="L172" s="76">
        <v>172</v>
      </c>
      <c r="M172" s="76"/>
      <c r="N172" s="70"/>
      <c r="O172" s="78" t="s">
        <v>305</v>
      </c>
      <c r="P172" s="78" t="s">
        <v>363</v>
      </c>
      <c r="Q172" s="78" t="s">
        <v>745</v>
      </c>
      <c r="R172" s="78" t="s">
        <v>1313</v>
      </c>
      <c r="S172" s="78"/>
      <c r="T172" s="78"/>
      <c r="U172" s="78"/>
      <c r="V172" s="78"/>
      <c r="W172" s="81" t="s">
        <v>1674</v>
      </c>
      <c r="X172" s="81" t="s">
        <v>1674</v>
      </c>
      <c r="Y172" s="78"/>
      <c r="Z172" s="78"/>
      <c r="AA172" s="81" t="s">
        <v>1674</v>
      </c>
      <c r="AB172" s="79">
        <v>24</v>
      </c>
      <c r="AC172" s="80" t="str">
        <f>REPLACE(INDEX(GroupVertices[Group],MATCH("~"&amp;Edges[[#This Row],[Vertex 1]],GroupVertices[Vertex],0)),1,1,"")</f>
        <v>1</v>
      </c>
      <c r="AD172" s="80" t="str">
        <f>REPLACE(INDEX(GroupVertices[Group],MATCH("~"&amp;Edges[[#This Row],[Vertex 2]],GroupVertices[Vertex],0)),1,1,"")</f>
        <v>1</v>
      </c>
      <c r="AE172" s="105"/>
      <c r="AF172" s="105"/>
      <c r="AG172" s="105"/>
      <c r="AH172" s="105"/>
      <c r="AI172" s="105"/>
      <c r="AJ172" s="105"/>
      <c r="AK172" s="105"/>
      <c r="AL172" s="105"/>
      <c r="AM172" s="105"/>
    </row>
    <row r="173" spans="1:39" ht="15">
      <c r="A173" s="62" t="s">
        <v>259</v>
      </c>
      <c r="B173" s="62" t="s">
        <v>248</v>
      </c>
      <c r="C173" s="63" t="s">
        <v>3604</v>
      </c>
      <c r="D173" s="64">
        <v>10</v>
      </c>
      <c r="E173" s="65" t="s">
        <v>136</v>
      </c>
      <c r="F173" s="66">
        <v>20.71698113207547</v>
      </c>
      <c r="G173" s="63"/>
      <c r="H173" s="67"/>
      <c r="I173" s="68"/>
      <c r="J173" s="68"/>
      <c r="K173" s="31" t="s">
        <v>65</v>
      </c>
      <c r="L173" s="76">
        <v>173</v>
      </c>
      <c r="M173" s="76"/>
      <c r="N173" s="70"/>
      <c r="O173" s="78" t="s">
        <v>305</v>
      </c>
      <c r="P173" s="78" t="s">
        <v>361</v>
      </c>
      <c r="Q173" s="78" t="s">
        <v>746</v>
      </c>
      <c r="R173" s="78" t="s">
        <v>1311</v>
      </c>
      <c r="S173" s="78"/>
      <c r="T173" s="78"/>
      <c r="U173" s="78"/>
      <c r="V173" s="78"/>
      <c r="W173" s="81" t="s">
        <v>1674</v>
      </c>
      <c r="X173" s="81" t="s">
        <v>1674</v>
      </c>
      <c r="Y173" s="78"/>
      <c r="Z173" s="78"/>
      <c r="AA173" s="81" t="s">
        <v>1674</v>
      </c>
      <c r="AB173" s="79">
        <v>24</v>
      </c>
      <c r="AC173" s="80" t="str">
        <f>REPLACE(INDEX(GroupVertices[Group],MATCH("~"&amp;Edges[[#This Row],[Vertex 1]],GroupVertices[Vertex],0)),1,1,"")</f>
        <v>1</v>
      </c>
      <c r="AD173" s="80" t="str">
        <f>REPLACE(INDEX(GroupVertices[Group],MATCH("~"&amp;Edges[[#This Row],[Vertex 2]],GroupVertices[Vertex],0)),1,1,"")</f>
        <v>1</v>
      </c>
      <c r="AE173" s="105"/>
      <c r="AF173" s="105"/>
      <c r="AG173" s="105"/>
      <c r="AH173" s="105"/>
      <c r="AI173" s="105"/>
      <c r="AJ173" s="105"/>
      <c r="AK173" s="105"/>
      <c r="AL173" s="105"/>
      <c r="AM173" s="105"/>
    </row>
    <row r="174" spans="1:39" ht="15">
      <c r="A174" s="62" t="s">
        <v>259</v>
      </c>
      <c r="B174" s="62" t="s">
        <v>248</v>
      </c>
      <c r="C174" s="63" t="s">
        <v>3604</v>
      </c>
      <c r="D174" s="64">
        <v>10</v>
      </c>
      <c r="E174" s="65" t="s">
        <v>136</v>
      </c>
      <c r="F174" s="66">
        <v>20.71698113207547</v>
      </c>
      <c r="G174" s="63"/>
      <c r="H174" s="67"/>
      <c r="I174" s="68"/>
      <c r="J174" s="68"/>
      <c r="K174" s="31" t="s">
        <v>65</v>
      </c>
      <c r="L174" s="76">
        <v>174</v>
      </c>
      <c r="M174" s="76"/>
      <c r="N174" s="70"/>
      <c r="O174" s="78" t="s">
        <v>305</v>
      </c>
      <c r="P174" s="78" t="s">
        <v>366</v>
      </c>
      <c r="Q174" s="78" t="s">
        <v>747</v>
      </c>
      <c r="R174" s="78" t="s">
        <v>1317</v>
      </c>
      <c r="S174" s="78"/>
      <c r="T174" s="78"/>
      <c r="U174" s="78"/>
      <c r="V174" s="78"/>
      <c r="W174" s="81" t="s">
        <v>1674</v>
      </c>
      <c r="X174" s="81" t="s">
        <v>1674</v>
      </c>
      <c r="Y174" s="78"/>
      <c r="Z174" s="78"/>
      <c r="AA174" s="81" t="s">
        <v>1674</v>
      </c>
      <c r="AB174" s="79">
        <v>24</v>
      </c>
      <c r="AC174" s="80" t="str">
        <f>REPLACE(INDEX(GroupVertices[Group],MATCH("~"&amp;Edges[[#This Row],[Vertex 1]],GroupVertices[Vertex],0)),1,1,"")</f>
        <v>1</v>
      </c>
      <c r="AD174" s="80" t="str">
        <f>REPLACE(INDEX(GroupVertices[Group],MATCH("~"&amp;Edges[[#This Row],[Vertex 2]],GroupVertices[Vertex],0)),1,1,"")</f>
        <v>1</v>
      </c>
      <c r="AE174" s="105"/>
      <c r="AF174" s="105"/>
      <c r="AG174" s="105"/>
      <c r="AH174" s="105"/>
      <c r="AI174" s="105"/>
      <c r="AJ174" s="105"/>
      <c r="AK174" s="105"/>
      <c r="AL174" s="105"/>
      <c r="AM174" s="105"/>
    </row>
    <row r="175" spans="1:39" ht="15">
      <c r="A175" s="62" t="s">
        <v>235</v>
      </c>
      <c r="B175" s="62" t="s">
        <v>248</v>
      </c>
      <c r="C175" s="63" t="s">
        <v>3605</v>
      </c>
      <c r="D175" s="64">
        <v>8.421052631578947</v>
      </c>
      <c r="E175" s="65" t="s">
        <v>136</v>
      </c>
      <c r="F175" s="66">
        <v>25.62264150943396</v>
      </c>
      <c r="G175" s="63"/>
      <c r="H175" s="67"/>
      <c r="I175" s="68"/>
      <c r="J175" s="68"/>
      <c r="K175" s="31" t="s">
        <v>65</v>
      </c>
      <c r="L175" s="76">
        <v>175</v>
      </c>
      <c r="M175" s="76"/>
      <c r="N175" s="70"/>
      <c r="O175" s="78" t="s">
        <v>305</v>
      </c>
      <c r="P175" s="78" t="s">
        <v>360</v>
      </c>
      <c r="Q175" s="78" t="s">
        <v>748</v>
      </c>
      <c r="R175" s="78" t="s">
        <v>1307</v>
      </c>
      <c r="S175" s="78"/>
      <c r="T175" s="78"/>
      <c r="U175" s="78"/>
      <c r="V175" s="78"/>
      <c r="W175" s="81" t="s">
        <v>1674</v>
      </c>
      <c r="X175" s="81" t="s">
        <v>1674</v>
      </c>
      <c r="Y175" s="78"/>
      <c r="Z175" s="78"/>
      <c r="AA175" s="81" t="s">
        <v>1674</v>
      </c>
      <c r="AB175" s="79">
        <v>14</v>
      </c>
      <c r="AC175" s="80" t="str">
        <f>REPLACE(INDEX(GroupVertices[Group],MATCH("~"&amp;Edges[[#This Row],[Vertex 1]],GroupVertices[Vertex],0)),1,1,"")</f>
        <v>1</v>
      </c>
      <c r="AD175" s="80" t="str">
        <f>REPLACE(INDEX(GroupVertices[Group],MATCH("~"&amp;Edges[[#This Row],[Vertex 2]],GroupVertices[Vertex],0)),1,1,"")</f>
        <v>1</v>
      </c>
      <c r="AE175" s="105"/>
      <c r="AF175" s="105"/>
      <c r="AG175" s="105"/>
      <c r="AH175" s="105"/>
      <c r="AI175" s="105"/>
      <c r="AJ175" s="105"/>
      <c r="AK175" s="105"/>
      <c r="AL175" s="105"/>
      <c r="AM175" s="105"/>
    </row>
    <row r="176" spans="1:39" ht="15">
      <c r="A176" s="62" t="s">
        <v>235</v>
      </c>
      <c r="B176" s="62" t="s">
        <v>248</v>
      </c>
      <c r="C176" s="63" t="s">
        <v>3605</v>
      </c>
      <c r="D176" s="64">
        <v>8.421052631578947</v>
      </c>
      <c r="E176" s="65" t="s">
        <v>136</v>
      </c>
      <c r="F176" s="66">
        <v>25.62264150943396</v>
      </c>
      <c r="G176" s="63"/>
      <c r="H176" s="67"/>
      <c r="I176" s="68"/>
      <c r="J176" s="68"/>
      <c r="K176" s="31" t="s">
        <v>65</v>
      </c>
      <c r="L176" s="76">
        <v>176</v>
      </c>
      <c r="M176" s="76"/>
      <c r="N176" s="70"/>
      <c r="O176" s="78" t="s">
        <v>305</v>
      </c>
      <c r="P176" s="78" t="s">
        <v>360</v>
      </c>
      <c r="Q176" s="78" t="s">
        <v>748</v>
      </c>
      <c r="R176" s="78" t="s">
        <v>1308</v>
      </c>
      <c r="S176" s="78"/>
      <c r="T176" s="78"/>
      <c r="U176" s="78"/>
      <c r="V176" s="78"/>
      <c r="W176" s="81" t="s">
        <v>1674</v>
      </c>
      <c r="X176" s="81" t="s">
        <v>1674</v>
      </c>
      <c r="Y176" s="78"/>
      <c r="Z176" s="78"/>
      <c r="AA176" s="81" t="s">
        <v>1674</v>
      </c>
      <c r="AB176" s="79">
        <v>14</v>
      </c>
      <c r="AC176" s="80" t="str">
        <f>REPLACE(INDEX(GroupVertices[Group],MATCH("~"&amp;Edges[[#This Row],[Vertex 1]],GroupVertices[Vertex],0)),1,1,"")</f>
        <v>1</v>
      </c>
      <c r="AD176" s="80" t="str">
        <f>REPLACE(INDEX(GroupVertices[Group],MATCH("~"&amp;Edges[[#This Row],[Vertex 2]],GroupVertices[Vertex],0)),1,1,"")</f>
        <v>1</v>
      </c>
      <c r="AE176" s="105"/>
      <c r="AF176" s="105"/>
      <c r="AG176" s="105"/>
      <c r="AH176" s="105"/>
      <c r="AI176" s="105"/>
      <c r="AJ176" s="105"/>
      <c r="AK176" s="105"/>
      <c r="AL176" s="105"/>
      <c r="AM176" s="105"/>
    </row>
    <row r="177" spans="1:39" ht="15">
      <c r="A177" s="62" t="s">
        <v>235</v>
      </c>
      <c r="B177" s="62" t="s">
        <v>248</v>
      </c>
      <c r="C177" s="63" t="s">
        <v>3605</v>
      </c>
      <c r="D177" s="64">
        <v>8.421052631578947</v>
      </c>
      <c r="E177" s="65" t="s">
        <v>136</v>
      </c>
      <c r="F177" s="66">
        <v>25.62264150943396</v>
      </c>
      <c r="G177" s="63"/>
      <c r="H177" s="67"/>
      <c r="I177" s="68"/>
      <c r="J177" s="68"/>
      <c r="K177" s="31" t="s">
        <v>65</v>
      </c>
      <c r="L177" s="76">
        <v>177</v>
      </c>
      <c r="M177" s="76"/>
      <c r="N177" s="70"/>
      <c r="O177" s="78" t="s">
        <v>305</v>
      </c>
      <c r="P177" s="78" t="s">
        <v>360</v>
      </c>
      <c r="Q177" s="78" t="s">
        <v>748</v>
      </c>
      <c r="R177" s="78" t="s">
        <v>1309</v>
      </c>
      <c r="S177" s="78"/>
      <c r="T177" s="78"/>
      <c r="U177" s="78"/>
      <c r="V177" s="78"/>
      <c r="W177" s="81" t="s">
        <v>1674</v>
      </c>
      <c r="X177" s="81" t="s">
        <v>1674</v>
      </c>
      <c r="Y177" s="78"/>
      <c r="Z177" s="78"/>
      <c r="AA177" s="81" t="s">
        <v>1674</v>
      </c>
      <c r="AB177" s="79">
        <v>14</v>
      </c>
      <c r="AC177" s="80" t="str">
        <f>REPLACE(INDEX(GroupVertices[Group],MATCH("~"&amp;Edges[[#This Row],[Vertex 1]],GroupVertices[Vertex],0)),1,1,"")</f>
        <v>1</v>
      </c>
      <c r="AD177" s="80" t="str">
        <f>REPLACE(INDEX(GroupVertices[Group],MATCH("~"&amp;Edges[[#This Row],[Vertex 2]],GroupVertices[Vertex],0)),1,1,"")</f>
        <v>1</v>
      </c>
      <c r="AE177" s="105"/>
      <c r="AF177" s="105"/>
      <c r="AG177" s="105"/>
      <c r="AH177" s="105"/>
      <c r="AI177" s="105"/>
      <c r="AJ177" s="105"/>
      <c r="AK177" s="105"/>
      <c r="AL177" s="105"/>
      <c r="AM177" s="105"/>
    </row>
    <row r="178" spans="1:39" ht="15">
      <c r="A178" s="62" t="s">
        <v>235</v>
      </c>
      <c r="B178" s="62" t="s">
        <v>248</v>
      </c>
      <c r="C178" s="63" t="s">
        <v>3605</v>
      </c>
      <c r="D178" s="64">
        <v>8.421052631578947</v>
      </c>
      <c r="E178" s="65" t="s">
        <v>136</v>
      </c>
      <c r="F178" s="66">
        <v>25.62264150943396</v>
      </c>
      <c r="G178" s="63"/>
      <c r="H178" s="67"/>
      <c r="I178" s="68"/>
      <c r="J178" s="68"/>
      <c r="K178" s="31" t="s">
        <v>65</v>
      </c>
      <c r="L178" s="76">
        <v>178</v>
      </c>
      <c r="M178" s="76"/>
      <c r="N178" s="70"/>
      <c r="O178" s="78" t="s">
        <v>305</v>
      </c>
      <c r="P178" s="78" t="s">
        <v>360</v>
      </c>
      <c r="Q178" s="78" t="s">
        <v>748</v>
      </c>
      <c r="R178" s="78" t="s">
        <v>1310</v>
      </c>
      <c r="S178" s="78"/>
      <c r="T178" s="78"/>
      <c r="U178" s="78"/>
      <c r="V178" s="78"/>
      <c r="W178" s="81" t="s">
        <v>1674</v>
      </c>
      <c r="X178" s="81" t="s">
        <v>1674</v>
      </c>
      <c r="Y178" s="78"/>
      <c r="Z178" s="78"/>
      <c r="AA178" s="81" t="s">
        <v>1674</v>
      </c>
      <c r="AB178" s="79">
        <v>14</v>
      </c>
      <c r="AC178" s="80" t="str">
        <f>REPLACE(INDEX(GroupVertices[Group],MATCH("~"&amp;Edges[[#This Row],[Vertex 1]],GroupVertices[Vertex],0)),1,1,"")</f>
        <v>1</v>
      </c>
      <c r="AD178" s="80" t="str">
        <f>REPLACE(INDEX(GroupVertices[Group],MATCH("~"&amp;Edges[[#This Row],[Vertex 2]],GroupVertices[Vertex],0)),1,1,"")</f>
        <v>1</v>
      </c>
      <c r="AE178" s="105"/>
      <c r="AF178" s="105"/>
      <c r="AG178" s="105"/>
      <c r="AH178" s="105"/>
      <c r="AI178" s="105"/>
      <c r="AJ178" s="105"/>
      <c r="AK178" s="105"/>
      <c r="AL178" s="105"/>
      <c r="AM178" s="105"/>
    </row>
    <row r="179" spans="1:39" ht="15">
      <c r="A179" s="62" t="s">
        <v>235</v>
      </c>
      <c r="B179" s="62" t="s">
        <v>248</v>
      </c>
      <c r="C179" s="63" t="s">
        <v>3605</v>
      </c>
      <c r="D179" s="64">
        <v>8.421052631578947</v>
      </c>
      <c r="E179" s="65" t="s">
        <v>136</v>
      </c>
      <c r="F179" s="66">
        <v>25.62264150943396</v>
      </c>
      <c r="G179" s="63"/>
      <c r="H179" s="67"/>
      <c r="I179" s="68"/>
      <c r="J179" s="68"/>
      <c r="K179" s="31" t="s">
        <v>65</v>
      </c>
      <c r="L179" s="76">
        <v>179</v>
      </c>
      <c r="M179" s="76"/>
      <c r="N179" s="70"/>
      <c r="O179" s="78" t="s">
        <v>305</v>
      </c>
      <c r="P179" s="78" t="s">
        <v>360</v>
      </c>
      <c r="Q179" s="78" t="s">
        <v>749</v>
      </c>
      <c r="R179" s="78" t="s">
        <v>1307</v>
      </c>
      <c r="S179" s="78"/>
      <c r="T179" s="78"/>
      <c r="U179" s="78"/>
      <c r="V179" s="78"/>
      <c r="W179" s="81" t="s">
        <v>1674</v>
      </c>
      <c r="X179" s="81" t="s">
        <v>1674</v>
      </c>
      <c r="Y179" s="78"/>
      <c r="Z179" s="78"/>
      <c r="AA179" s="81" t="s">
        <v>1674</v>
      </c>
      <c r="AB179" s="79">
        <v>14</v>
      </c>
      <c r="AC179" s="80" t="str">
        <f>REPLACE(INDEX(GroupVertices[Group],MATCH("~"&amp;Edges[[#This Row],[Vertex 1]],GroupVertices[Vertex],0)),1,1,"")</f>
        <v>1</v>
      </c>
      <c r="AD179" s="80" t="str">
        <f>REPLACE(INDEX(GroupVertices[Group],MATCH("~"&amp;Edges[[#This Row],[Vertex 2]],GroupVertices[Vertex],0)),1,1,"")</f>
        <v>1</v>
      </c>
      <c r="AE179" s="105"/>
      <c r="AF179" s="105"/>
      <c r="AG179" s="105"/>
      <c r="AH179" s="105"/>
      <c r="AI179" s="105"/>
      <c r="AJ179" s="105"/>
      <c r="AK179" s="105"/>
      <c r="AL179" s="105"/>
      <c r="AM179" s="105"/>
    </row>
    <row r="180" spans="1:39" ht="15">
      <c r="A180" s="62" t="s">
        <v>235</v>
      </c>
      <c r="B180" s="62" t="s">
        <v>248</v>
      </c>
      <c r="C180" s="63" t="s">
        <v>3605</v>
      </c>
      <c r="D180" s="64">
        <v>8.421052631578947</v>
      </c>
      <c r="E180" s="65" t="s">
        <v>136</v>
      </c>
      <c r="F180" s="66">
        <v>25.62264150943396</v>
      </c>
      <c r="G180" s="63"/>
      <c r="H180" s="67"/>
      <c r="I180" s="68"/>
      <c r="J180" s="68"/>
      <c r="K180" s="31" t="s">
        <v>65</v>
      </c>
      <c r="L180" s="76">
        <v>180</v>
      </c>
      <c r="M180" s="76"/>
      <c r="N180" s="70"/>
      <c r="O180" s="78" t="s">
        <v>305</v>
      </c>
      <c r="P180" s="78" t="s">
        <v>360</v>
      </c>
      <c r="Q180" s="78" t="s">
        <v>749</v>
      </c>
      <c r="R180" s="78" t="s">
        <v>1308</v>
      </c>
      <c r="S180" s="78"/>
      <c r="T180" s="78"/>
      <c r="U180" s="78"/>
      <c r="V180" s="78"/>
      <c r="W180" s="81" t="s">
        <v>1674</v>
      </c>
      <c r="X180" s="81" t="s">
        <v>1674</v>
      </c>
      <c r="Y180" s="78"/>
      <c r="Z180" s="78"/>
      <c r="AA180" s="81" t="s">
        <v>1674</v>
      </c>
      <c r="AB180" s="79">
        <v>14</v>
      </c>
      <c r="AC180" s="80" t="str">
        <f>REPLACE(INDEX(GroupVertices[Group],MATCH("~"&amp;Edges[[#This Row],[Vertex 1]],GroupVertices[Vertex],0)),1,1,"")</f>
        <v>1</v>
      </c>
      <c r="AD180" s="80" t="str">
        <f>REPLACE(INDEX(GroupVertices[Group],MATCH("~"&amp;Edges[[#This Row],[Vertex 2]],GroupVertices[Vertex],0)),1,1,"")</f>
        <v>1</v>
      </c>
      <c r="AE180" s="105"/>
      <c r="AF180" s="105"/>
      <c r="AG180" s="105"/>
      <c r="AH180" s="105"/>
      <c r="AI180" s="105"/>
      <c r="AJ180" s="105"/>
      <c r="AK180" s="105"/>
      <c r="AL180" s="105"/>
      <c r="AM180" s="105"/>
    </row>
    <row r="181" spans="1:39" ht="15">
      <c r="A181" s="62" t="s">
        <v>235</v>
      </c>
      <c r="B181" s="62" t="s">
        <v>248</v>
      </c>
      <c r="C181" s="63" t="s">
        <v>3605</v>
      </c>
      <c r="D181" s="64">
        <v>8.421052631578947</v>
      </c>
      <c r="E181" s="65" t="s">
        <v>136</v>
      </c>
      <c r="F181" s="66">
        <v>25.62264150943396</v>
      </c>
      <c r="G181" s="63"/>
      <c r="H181" s="67"/>
      <c r="I181" s="68"/>
      <c r="J181" s="68"/>
      <c r="K181" s="31" t="s">
        <v>65</v>
      </c>
      <c r="L181" s="76">
        <v>181</v>
      </c>
      <c r="M181" s="76"/>
      <c r="N181" s="70"/>
      <c r="O181" s="78" t="s">
        <v>305</v>
      </c>
      <c r="P181" s="78" t="s">
        <v>360</v>
      </c>
      <c r="Q181" s="78" t="s">
        <v>749</v>
      </c>
      <c r="R181" s="78" t="s">
        <v>1309</v>
      </c>
      <c r="S181" s="78"/>
      <c r="T181" s="78"/>
      <c r="U181" s="78"/>
      <c r="V181" s="78"/>
      <c r="W181" s="81" t="s">
        <v>1674</v>
      </c>
      <c r="X181" s="81" t="s">
        <v>1674</v>
      </c>
      <c r="Y181" s="78"/>
      <c r="Z181" s="78"/>
      <c r="AA181" s="81" t="s">
        <v>1674</v>
      </c>
      <c r="AB181" s="79">
        <v>14</v>
      </c>
      <c r="AC181" s="80" t="str">
        <f>REPLACE(INDEX(GroupVertices[Group],MATCH("~"&amp;Edges[[#This Row],[Vertex 1]],GroupVertices[Vertex],0)),1,1,"")</f>
        <v>1</v>
      </c>
      <c r="AD181" s="80" t="str">
        <f>REPLACE(INDEX(GroupVertices[Group],MATCH("~"&amp;Edges[[#This Row],[Vertex 2]],GroupVertices[Vertex],0)),1,1,"")</f>
        <v>1</v>
      </c>
      <c r="AE181" s="105"/>
      <c r="AF181" s="105"/>
      <c r="AG181" s="105"/>
      <c r="AH181" s="105"/>
      <c r="AI181" s="105"/>
      <c r="AJ181" s="105"/>
      <c r="AK181" s="105"/>
      <c r="AL181" s="105"/>
      <c r="AM181" s="105"/>
    </row>
    <row r="182" spans="1:39" ht="15">
      <c r="A182" s="62" t="s">
        <v>235</v>
      </c>
      <c r="B182" s="62" t="s">
        <v>248</v>
      </c>
      <c r="C182" s="63" t="s">
        <v>3605</v>
      </c>
      <c r="D182" s="64">
        <v>8.421052631578947</v>
      </c>
      <c r="E182" s="65" t="s">
        <v>136</v>
      </c>
      <c r="F182" s="66">
        <v>25.62264150943396</v>
      </c>
      <c r="G182" s="63"/>
      <c r="H182" s="67"/>
      <c r="I182" s="68"/>
      <c r="J182" s="68"/>
      <c r="K182" s="31" t="s">
        <v>65</v>
      </c>
      <c r="L182" s="76">
        <v>182</v>
      </c>
      <c r="M182" s="76"/>
      <c r="N182" s="70"/>
      <c r="O182" s="78" t="s">
        <v>305</v>
      </c>
      <c r="P182" s="78" t="s">
        <v>360</v>
      </c>
      <c r="Q182" s="78" t="s">
        <v>749</v>
      </c>
      <c r="R182" s="78" t="s">
        <v>1310</v>
      </c>
      <c r="S182" s="78"/>
      <c r="T182" s="78"/>
      <c r="U182" s="78"/>
      <c r="V182" s="78"/>
      <c r="W182" s="81" t="s">
        <v>1674</v>
      </c>
      <c r="X182" s="81" t="s">
        <v>1674</v>
      </c>
      <c r="Y182" s="78"/>
      <c r="Z182" s="78"/>
      <c r="AA182" s="81" t="s">
        <v>1674</v>
      </c>
      <c r="AB182" s="79">
        <v>14</v>
      </c>
      <c r="AC182" s="80" t="str">
        <f>REPLACE(INDEX(GroupVertices[Group],MATCH("~"&amp;Edges[[#This Row],[Vertex 1]],GroupVertices[Vertex],0)),1,1,"")</f>
        <v>1</v>
      </c>
      <c r="AD182" s="80" t="str">
        <f>REPLACE(INDEX(GroupVertices[Group],MATCH("~"&amp;Edges[[#This Row],[Vertex 2]],GroupVertices[Vertex],0)),1,1,"")</f>
        <v>1</v>
      </c>
      <c r="AE182" s="105"/>
      <c r="AF182" s="105"/>
      <c r="AG182" s="105"/>
      <c r="AH182" s="105"/>
      <c r="AI182" s="105"/>
      <c r="AJ182" s="105"/>
      <c r="AK182" s="105"/>
      <c r="AL182" s="105"/>
      <c r="AM182" s="105"/>
    </row>
    <row r="183" spans="1:39" ht="15">
      <c r="A183" s="62" t="s">
        <v>235</v>
      </c>
      <c r="B183" s="62" t="s">
        <v>248</v>
      </c>
      <c r="C183" s="63" t="s">
        <v>3605</v>
      </c>
      <c r="D183" s="64">
        <v>8.421052631578947</v>
      </c>
      <c r="E183" s="65" t="s">
        <v>136</v>
      </c>
      <c r="F183" s="66">
        <v>25.62264150943396</v>
      </c>
      <c r="G183" s="63"/>
      <c r="H183" s="67"/>
      <c r="I183" s="68"/>
      <c r="J183" s="68"/>
      <c r="K183" s="31" t="s">
        <v>65</v>
      </c>
      <c r="L183" s="76">
        <v>183</v>
      </c>
      <c r="M183" s="76"/>
      <c r="N183" s="70"/>
      <c r="O183" s="78" t="s">
        <v>305</v>
      </c>
      <c r="P183" s="78" t="s">
        <v>360</v>
      </c>
      <c r="Q183" s="78" t="s">
        <v>750</v>
      </c>
      <c r="R183" s="78" t="s">
        <v>1307</v>
      </c>
      <c r="S183" s="78"/>
      <c r="T183" s="78"/>
      <c r="U183" s="78"/>
      <c r="V183" s="78"/>
      <c r="W183" s="81" t="s">
        <v>1674</v>
      </c>
      <c r="X183" s="81" t="s">
        <v>1674</v>
      </c>
      <c r="Y183" s="78"/>
      <c r="Z183" s="78"/>
      <c r="AA183" s="81" t="s">
        <v>1674</v>
      </c>
      <c r="AB183" s="79">
        <v>14</v>
      </c>
      <c r="AC183" s="80" t="str">
        <f>REPLACE(INDEX(GroupVertices[Group],MATCH("~"&amp;Edges[[#This Row],[Vertex 1]],GroupVertices[Vertex],0)),1,1,"")</f>
        <v>1</v>
      </c>
      <c r="AD183" s="80" t="str">
        <f>REPLACE(INDEX(GroupVertices[Group],MATCH("~"&amp;Edges[[#This Row],[Vertex 2]],GroupVertices[Vertex],0)),1,1,"")</f>
        <v>1</v>
      </c>
      <c r="AE183" s="105"/>
      <c r="AF183" s="105"/>
      <c r="AG183" s="105"/>
      <c r="AH183" s="105"/>
      <c r="AI183" s="105"/>
      <c r="AJ183" s="105"/>
      <c r="AK183" s="105"/>
      <c r="AL183" s="105"/>
      <c r="AM183" s="105"/>
    </row>
    <row r="184" spans="1:39" ht="15">
      <c r="A184" s="62" t="s">
        <v>235</v>
      </c>
      <c r="B184" s="62" t="s">
        <v>248</v>
      </c>
      <c r="C184" s="63" t="s">
        <v>3605</v>
      </c>
      <c r="D184" s="64">
        <v>8.421052631578947</v>
      </c>
      <c r="E184" s="65" t="s">
        <v>136</v>
      </c>
      <c r="F184" s="66">
        <v>25.62264150943396</v>
      </c>
      <c r="G184" s="63"/>
      <c r="H184" s="67"/>
      <c r="I184" s="68"/>
      <c r="J184" s="68"/>
      <c r="K184" s="31" t="s">
        <v>65</v>
      </c>
      <c r="L184" s="76">
        <v>184</v>
      </c>
      <c r="M184" s="76"/>
      <c r="N184" s="70"/>
      <c r="O184" s="78" t="s">
        <v>305</v>
      </c>
      <c r="P184" s="78" t="s">
        <v>360</v>
      </c>
      <c r="Q184" s="78" t="s">
        <v>750</v>
      </c>
      <c r="R184" s="78" t="s">
        <v>1308</v>
      </c>
      <c r="S184" s="78"/>
      <c r="T184" s="78"/>
      <c r="U184" s="78"/>
      <c r="V184" s="78"/>
      <c r="W184" s="81" t="s">
        <v>1674</v>
      </c>
      <c r="X184" s="81" t="s">
        <v>1674</v>
      </c>
      <c r="Y184" s="78"/>
      <c r="Z184" s="78"/>
      <c r="AA184" s="81" t="s">
        <v>1674</v>
      </c>
      <c r="AB184" s="79">
        <v>14</v>
      </c>
      <c r="AC184" s="80" t="str">
        <f>REPLACE(INDEX(GroupVertices[Group],MATCH("~"&amp;Edges[[#This Row],[Vertex 1]],GroupVertices[Vertex],0)),1,1,"")</f>
        <v>1</v>
      </c>
      <c r="AD184" s="80" t="str">
        <f>REPLACE(INDEX(GroupVertices[Group],MATCH("~"&amp;Edges[[#This Row],[Vertex 2]],GroupVertices[Vertex],0)),1,1,"")</f>
        <v>1</v>
      </c>
      <c r="AE184" s="105"/>
      <c r="AF184" s="105"/>
      <c r="AG184" s="105"/>
      <c r="AH184" s="105"/>
      <c r="AI184" s="105"/>
      <c r="AJ184" s="105"/>
      <c r="AK184" s="105"/>
      <c r="AL184" s="105"/>
      <c r="AM184" s="105"/>
    </row>
    <row r="185" spans="1:39" ht="15">
      <c r="A185" s="62" t="s">
        <v>235</v>
      </c>
      <c r="B185" s="62" t="s">
        <v>248</v>
      </c>
      <c r="C185" s="63" t="s">
        <v>3605</v>
      </c>
      <c r="D185" s="64">
        <v>8.421052631578947</v>
      </c>
      <c r="E185" s="65" t="s">
        <v>136</v>
      </c>
      <c r="F185" s="66">
        <v>25.62264150943396</v>
      </c>
      <c r="G185" s="63"/>
      <c r="H185" s="67"/>
      <c r="I185" s="68"/>
      <c r="J185" s="68"/>
      <c r="K185" s="31" t="s">
        <v>65</v>
      </c>
      <c r="L185" s="76">
        <v>185</v>
      </c>
      <c r="M185" s="76"/>
      <c r="N185" s="70"/>
      <c r="O185" s="78" t="s">
        <v>305</v>
      </c>
      <c r="P185" s="78" t="s">
        <v>360</v>
      </c>
      <c r="Q185" s="78" t="s">
        <v>750</v>
      </c>
      <c r="R185" s="78" t="s">
        <v>1309</v>
      </c>
      <c r="S185" s="78"/>
      <c r="T185" s="78"/>
      <c r="U185" s="78"/>
      <c r="V185" s="78"/>
      <c r="W185" s="81" t="s">
        <v>1674</v>
      </c>
      <c r="X185" s="81" t="s">
        <v>1674</v>
      </c>
      <c r="Y185" s="78"/>
      <c r="Z185" s="78"/>
      <c r="AA185" s="81" t="s">
        <v>1674</v>
      </c>
      <c r="AB185" s="79">
        <v>14</v>
      </c>
      <c r="AC185" s="80" t="str">
        <f>REPLACE(INDEX(GroupVertices[Group],MATCH("~"&amp;Edges[[#This Row],[Vertex 1]],GroupVertices[Vertex],0)),1,1,"")</f>
        <v>1</v>
      </c>
      <c r="AD185" s="80" t="str">
        <f>REPLACE(INDEX(GroupVertices[Group],MATCH("~"&amp;Edges[[#This Row],[Vertex 2]],GroupVertices[Vertex],0)),1,1,"")</f>
        <v>1</v>
      </c>
      <c r="AE185" s="105"/>
      <c r="AF185" s="105"/>
      <c r="AG185" s="105"/>
      <c r="AH185" s="105"/>
      <c r="AI185" s="105"/>
      <c r="AJ185" s="105"/>
      <c r="AK185" s="105"/>
      <c r="AL185" s="105"/>
      <c r="AM185" s="105"/>
    </row>
    <row r="186" spans="1:39" ht="15">
      <c r="A186" s="62" t="s">
        <v>235</v>
      </c>
      <c r="B186" s="62" t="s">
        <v>248</v>
      </c>
      <c r="C186" s="63" t="s">
        <v>3605</v>
      </c>
      <c r="D186" s="64">
        <v>8.421052631578947</v>
      </c>
      <c r="E186" s="65" t="s">
        <v>136</v>
      </c>
      <c r="F186" s="66">
        <v>25.62264150943396</v>
      </c>
      <c r="G186" s="63"/>
      <c r="H186" s="67"/>
      <c r="I186" s="68"/>
      <c r="J186" s="68"/>
      <c r="K186" s="31" t="s">
        <v>65</v>
      </c>
      <c r="L186" s="76">
        <v>186</v>
      </c>
      <c r="M186" s="76"/>
      <c r="N186" s="70"/>
      <c r="O186" s="78" t="s">
        <v>305</v>
      </c>
      <c r="P186" s="78" t="s">
        <v>360</v>
      </c>
      <c r="Q186" s="78" t="s">
        <v>750</v>
      </c>
      <c r="R186" s="78" t="s">
        <v>1310</v>
      </c>
      <c r="S186" s="78"/>
      <c r="T186" s="78"/>
      <c r="U186" s="78"/>
      <c r="V186" s="78"/>
      <c r="W186" s="81" t="s">
        <v>1674</v>
      </c>
      <c r="X186" s="81" t="s">
        <v>1674</v>
      </c>
      <c r="Y186" s="78"/>
      <c r="Z186" s="78"/>
      <c r="AA186" s="81" t="s">
        <v>1674</v>
      </c>
      <c r="AB186" s="79">
        <v>14</v>
      </c>
      <c r="AC186" s="80" t="str">
        <f>REPLACE(INDEX(GroupVertices[Group],MATCH("~"&amp;Edges[[#This Row],[Vertex 1]],GroupVertices[Vertex],0)),1,1,"")</f>
        <v>1</v>
      </c>
      <c r="AD186" s="80" t="str">
        <f>REPLACE(INDEX(GroupVertices[Group],MATCH("~"&amp;Edges[[#This Row],[Vertex 2]],GroupVertices[Vertex],0)),1,1,"")</f>
        <v>1</v>
      </c>
      <c r="AE186" s="105"/>
      <c r="AF186" s="105"/>
      <c r="AG186" s="105"/>
      <c r="AH186" s="105"/>
      <c r="AI186" s="105"/>
      <c r="AJ186" s="105"/>
      <c r="AK186" s="105"/>
      <c r="AL186" s="105"/>
      <c r="AM186" s="105"/>
    </row>
    <row r="187" spans="1:39" ht="15">
      <c r="A187" s="62" t="s">
        <v>235</v>
      </c>
      <c r="B187" s="62" t="s">
        <v>248</v>
      </c>
      <c r="C187" s="63" t="s">
        <v>3605</v>
      </c>
      <c r="D187" s="64">
        <v>8.421052631578947</v>
      </c>
      <c r="E187" s="65" t="s">
        <v>136</v>
      </c>
      <c r="F187" s="66">
        <v>25.62264150943396</v>
      </c>
      <c r="G187" s="63"/>
      <c r="H187" s="67"/>
      <c r="I187" s="68"/>
      <c r="J187" s="68"/>
      <c r="K187" s="31" t="s">
        <v>65</v>
      </c>
      <c r="L187" s="76">
        <v>187</v>
      </c>
      <c r="M187" s="76"/>
      <c r="N187" s="70"/>
      <c r="O187" s="78" t="s">
        <v>305</v>
      </c>
      <c r="P187" s="78" t="s">
        <v>353</v>
      </c>
      <c r="Q187" s="78" t="s">
        <v>751</v>
      </c>
      <c r="R187" s="78" t="s">
        <v>1299</v>
      </c>
      <c r="S187" s="78" t="s">
        <v>1646</v>
      </c>
      <c r="T187" s="78"/>
      <c r="U187" s="78" t="s">
        <v>1670</v>
      </c>
      <c r="V187" s="78"/>
      <c r="W187" s="81" t="s">
        <v>1674</v>
      </c>
      <c r="X187" s="81" t="s">
        <v>1674</v>
      </c>
      <c r="Y187" s="78" t="s">
        <v>1679</v>
      </c>
      <c r="Z187" s="78" t="s">
        <v>1709</v>
      </c>
      <c r="AA187" s="81" t="s">
        <v>1674</v>
      </c>
      <c r="AB187" s="79">
        <v>14</v>
      </c>
      <c r="AC187" s="80" t="str">
        <f>REPLACE(INDEX(GroupVertices[Group],MATCH("~"&amp;Edges[[#This Row],[Vertex 1]],GroupVertices[Vertex],0)),1,1,"")</f>
        <v>1</v>
      </c>
      <c r="AD187" s="80" t="str">
        <f>REPLACE(INDEX(GroupVertices[Group],MATCH("~"&amp;Edges[[#This Row],[Vertex 2]],GroupVertices[Vertex],0)),1,1,"")</f>
        <v>1</v>
      </c>
      <c r="AE187" s="105"/>
      <c r="AF187" s="105"/>
      <c r="AG187" s="105"/>
      <c r="AH187" s="105"/>
      <c r="AI187" s="105"/>
      <c r="AJ187" s="105"/>
      <c r="AK187" s="105"/>
      <c r="AL187" s="105"/>
      <c r="AM187" s="105"/>
    </row>
    <row r="188" spans="1:39" ht="15">
      <c r="A188" s="62" t="s">
        <v>235</v>
      </c>
      <c r="B188" s="62" t="s">
        <v>248</v>
      </c>
      <c r="C188" s="63" t="s">
        <v>3605</v>
      </c>
      <c r="D188" s="64">
        <v>8.421052631578947</v>
      </c>
      <c r="E188" s="65" t="s">
        <v>136</v>
      </c>
      <c r="F188" s="66">
        <v>25.62264150943396</v>
      </c>
      <c r="G188" s="63"/>
      <c r="H188" s="67"/>
      <c r="I188" s="68"/>
      <c r="J188" s="68"/>
      <c r="K188" s="31" t="s">
        <v>65</v>
      </c>
      <c r="L188" s="76">
        <v>188</v>
      </c>
      <c r="M188" s="76"/>
      <c r="N188" s="70"/>
      <c r="O188" s="78" t="s">
        <v>305</v>
      </c>
      <c r="P188" s="78" t="s">
        <v>352</v>
      </c>
      <c r="Q188" s="78" t="s">
        <v>752</v>
      </c>
      <c r="R188" s="78" t="s">
        <v>1298</v>
      </c>
      <c r="S188" s="78"/>
      <c r="T188" s="78"/>
      <c r="U188" s="78"/>
      <c r="V188" s="78"/>
      <c r="W188" s="81" t="s">
        <v>1674</v>
      </c>
      <c r="X188" s="81" t="s">
        <v>1674</v>
      </c>
      <c r="Y188" s="78"/>
      <c r="Z188" s="78"/>
      <c r="AA188" s="81" t="s">
        <v>1674</v>
      </c>
      <c r="AB188" s="79">
        <v>14</v>
      </c>
      <c r="AC188" s="80" t="str">
        <f>REPLACE(INDEX(GroupVertices[Group],MATCH("~"&amp;Edges[[#This Row],[Vertex 1]],GroupVertices[Vertex],0)),1,1,"")</f>
        <v>1</v>
      </c>
      <c r="AD188" s="80" t="str">
        <f>REPLACE(INDEX(GroupVertices[Group],MATCH("~"&amp;Edges[[#This Row],[Vertex 2]],GroupVertices[Vertex],0)),1,1,"")</f>
        <v>1</v>
      </c>
      <c r="AE188" s="105"/>
      <c r="AF188" s="105"/>
      <c r="AG188" s="105"/>
      <c r="AH188" s="105"/>
      <c r="AI188" s="105"/>
      <c r="AJ188" s="105"/>
      <c r="AK188" s="105"/>
      <c r="AL188" s="105"/>
      <c r="AM188" s="105"/>
    </row>
    <row r="189" spans="1:39" ht="15">
      <c r="A189" s="62" t="s">
        <v>260</v>
      </c>
      <c r="B189" s="62" t="s">
        <v>248</v>
      </c>
      <c r="C189" s="63" t="s">
        <v>3598</v>
      </c>
      <c r="D189" s="64">
        <v>5</v>
      </c>
      <c r="E189" s="65" t="s">
        <v>132</v>
      </c>
      <c r="F189" s="66">
        <v>32</v>
      </c>
      <c r="G189" s="63"/>
      <c r="H189" s="67"/>
      <c r="I189" s="68"/>
      <c r="J189" s="68"/>
      <c r="K189" s="31" t="s">
        <v>65</v>
      </c>
      <c r="L189" s="76">
        <v>189</v>
      </c>
      <c r="M189" s="76"/>
      <c r="N189" s="70"/>
      <c r="O189" s="78" t="s">
        <v>305</v>
      </c>
      <c r="P189" s="78" t="s">
        <v>367</v>
      </c>
      <c r="Q189" s="78" t="s">
        <v>753</v>
      </c>
      <c r="R189" s="78" t="s">
        <v>1318</v>
      </c>
      <c r="S189" s="78"/>
      <c r="T189" s="78"/>
      <c r="U189" s="78"/>
      <c r="V189" s="78"/>
      <c r="W189" s="81" t="s">
        <v>1674</v>
      </c>
      <c r="X189" s="81" t="s">
        <v>1674</v>
      </c>
      <c r="Y189" s="78"/>
      <c r="Z189" s="78"/>
      <c r="AA189" s="81" t="s">
        <v>1674</v>
      </c>
      <c r="AB189" s="79">
        <v>1</v>
      </c>
      <c r="AC189" s="80" t="str">
        <f>REPLACE(INDEX(GroupVertices[Group],MATCH("~"&amp;Edges[[#This Row],[Vertex 1]],GroupVertices[Vertex],0)),1,1,"")</f>
        <v>1</v>
      </c>
      <c r="AD189" s="80" t="str">
        <f>REPLACE(INDEX(GroupVertices[Group],MATCH("~"&amp;Edges[[#This Row],[Vertex 2]],GroupVertices[Vertex],0)),1,1,"")</f>
        <v>1</v>
      </c>
      <c r="AE189" s="105"/>
      <c r="AF189" s="105"/>
      <c r="AG189" s="105"/>
      <c r="AH189" s="105"/>
      <c r="AI189" s="105"/>
      <c r="AJ189" s="105"/>
      <c r="AK189" s="105"/>
      <c r="AL189" s="105"/>
      <c r="AM189" s="105"/>
    </row>
    <row r="190" spans="1:39" ht="15">
      <c r="A190" s="62" t="s">
        <v>261</v>
      </c>
      <c r="B190" s="62" t="s">
        <v>297</v>
      </c>
      <c r="C190" s="63" t="s">
        <v>3602</v>
      </c>
      <c r="D190" s="64">
        <v>5.526315789473684</v>
      </c>
      <c r="E190" s="65" t="s">
        <v>136</v>
      </c>
      <c r="F190" s="66">
        <v>31.0188679245283</v>
      </c>
      <c r="G190" s="63"/>
      <c r="H190" s="67"/>
      <c r="I190" s="68"/>
      <c r="J190" s="68"/>
      <c r="K190" s="31" t="s">
        <v>65</v>
      </c>
      <c r="L190" s="76">
        <v>190</v>
      </c>
      <c r="M190" s="76"/>
      <c r="N190" s="70"/>
      <c r="O190" s="78" t="s">
        <v>305</v>
      </c>
      <c r="P190" s="78" t="s">
        <v>368</v>
      </c>
      <c r="Q190" s="78" t="s">
        <v>754</v>
      </c>
      <c r="R190" s="78" t="s">
        <v>1319</v>
      </c>
      <c r="S190" s="78"/>
      <c r="T190" s="78"/>
      <c r="U190" s="78"/>
      <c r="V190" s="78"/>
      <c r="W190" s="81" t="s">
        <v>1674</v>
      </c>
      <c r="X190" s="81" t="s">
        <v>1674</v>
      </c>
      <c r="Y190" s="78"/>
      <c r="Z190" s="78"/>
      <c r="AA190" s="81" t="s">
        <v>1674</v>
      </c>
      <c r="AB190" s="79">
        <v>3</v>
      </c>
      <c r="AC190" s="80" t="str">
        <f>REPLACE(INDEX(GroupVertices[Group],MATCH("~"&amp;Edges[[#This Row],[Vertex 1]],GroupVertices[Vertex],0)),1,1,"")</f>
        <v>2</v>
      </c>
      <c r="AD190" s="80" t="str">
        <f>REPLACE(INDEX(GroupVertices[Group],MATCH("~"&amp;Edges[[#This Row],[Vertex 2]],GroupVertices[Vertex],0)),1,1,"")</f>
        <v>8</v>
      </c>
      <c r="AE190" s="105"/>
      <c r="AF190" s="105"/>
      <c r="AG190" s="105"/>
      <c r="AH190" s="105"/>
      <c r="AI190" s="105"/>
      <c r="AJ190" s="105"/>
      <c r="AK190" s="105"/>
      <c r="AL190" s="105"/>
      <c r="AM190" s="105"/>
    </row>
    <row r="191" spans="1:39" ht="15">
      <c r="A191" s="62" t="s">
        <v>261</v>
      </c>
      <c r="B191" s="62" t="s">
        <v>297</v>
      </c>
      <c r="C191" s="63" t="s">
        <v>3602</v>
      </c>
      <c r="D191" s="64">
        <v>5.526315789473684</v>
      </c>
      <c r="E191" s="65" t="s">
        <v>136</v>
      </c>
      <c r="F191" s="66">
        <v>31.0188679245283</v>
      </c>
      <c r="G191" s="63"/>
      <c r="H191" s="67"/>
      <c r="I191" s="68"/>
      <c r="J191" s="68"/>
      <c r="K191" s="31" t="s">
        <v>65</v>
      </c>
      <c r="L191" s="76">
        <v>191</v>
      </c>
      <c r="M191" s="76"/>
      <c r="N191" s="70"/>
      <c r="O191" s="78" t="s">
        <v>305</v>
      </c>
      <c r="P191" s="78" t="s">
        <v>368</v>
      </c>
      <c r="Q191" s="78" t="s">
        <v>755</v>
      </c>
      <c r="R191" s="78" t="s">
        <v>1319</v>
      </c>
      <c r="S191" s="78"/>
      <c r="T191" s="78"/>
      <c r="U191" s="78"/>
      <c r="V191" s="78"/>
      <c r="W191" s="81" t="s">
        <v>1674</v>
      </c>
      <c r="X191" s="81" t="s">
        <v>1674</v>
      </c>
      <c r="Y191" s="78"/>
      <c r="Z191" s="78"/>
      <c r="AA191" s="81" t="s">
        <v>1674</v>
      </c>
      <c r="AB191" s="79">
        <v>3</v>
      </c>
      <c r="AC191" s="80" t="str">
        <f>REPLACE(INDEX(GroupVertices[Group],MATCH("~"&amp;Edges[[#This Row],[Vertex 1]],GroupVertices[Vertex],0)),1,1,"")</f>
        <v>2</v>
      </c>
      <c r="AD191" s="80" t="str">
        <f>REPLACE(INDEX(GroupVertices[Group],MATCH("~"&amp;Edges[[#This Row],[Vertex 2]],GroupVertices[Vertex],0)),1,1,"")</f>
        <v>8</v>
      </c>
      <c r="AE191" s="105"/>
      <c r="AF191" s="105"/>
      <c r="AG191" s="105"/>
      <c r="AH191" s="105"/>
      <c r="AI191" s="105"/>
      <c r="AJ191" s="105"/>
      <c r="AK191" s="105"/>
      <c r="AL191" s="105"/>
      <c r="AM191" s="105"/>
    </row>
    <row r="192" spans="1:39" ht="15">
      <c r="A192" s="62" t="s">
        <v>261</v>
      </c>
      <c r="B192" s="62" t="s">
        <v>297</v>
      </c>
      <c r="C192" s="63" t="s">
        <v>3602</v>
      </c>
      <c r="D192" s="64">
        <v>5.526315789473684</v>
      </c>
      <c r="E192" s="65" t="s">
        <v>136</v>
      </c>
      <c r="F192" s="66">
        <v>31.0188679245283</v>
      </c>
      <c r="G192" s="63"/>
      <c r="H192" s="67"/>
      <c r="I192" s="68"/>
      <c r="J192" s="68"/>
      <c r="K192" s="31" t="s">
        <v>65</v>
      </c>
      <c r="L192" s="76">
        <v>192</v>
      </c>
      <c r="M192" s="76"/>
      <c r="N192" s="70"/>
      <c r="O192" s="78" t="s">
        <v>305</v>
      </c>
      <c r="P192" s="78" t="s">
        <v>368</v>
      </c>
      <c r="Q192" s="78" t="s">
        <v>756</v>
      </c>
      <c r="R192" s="78" t="s">
        <v>1319</v>
      </c>
      <c r="S192" s="78"/>
      <c r="T192" s="78"/>
      <c r="U192" s="78"/>
      <c r="V192" s="78"/>
      <c r="W192" s="81" t="s">
        <v>1674</v>
      </c>
      <c r="X192" s="81" t="s">
        <v>1674</v>
      </c>
      <c r="Y192" s="78"/>
      <c r="Z192" s="78"/>
      <c r="AA192" s="81" t="s">
        <v>1674</v>
      </c>
      <c r="AB192" s="79">
        <v>3</v>
      </c>
      <c r="AC192" s="80" t="str">
        <f>REPLACE(INDEX(GroupVertices[Group],MATCH("~"&amp;Edges[[#This Row],[Vertex 1]],GroupVertices[Vertex],0)),1,1,"")</f>
        <v>2</v>
      </c>
      <c r="AD192" s="80" t="str">
        <f>REPLACE(INDEX(GroupVertices[Group],MATCH("~"&amp;Edges[[#This Row],[Vertex 2]],GroupVertices[Vertex],0)),1,1,"")</f>
        <v>8</v>
      </c>
      <c r="AE192" s="105"/>
      <c r="AF192" s="105"/>
      <c r="AG192" s="105"/>
      <c r="AH192" s="105"/>
      <c r="AI192" s="105"/>
      <c r="AJ192" s="105"/>
      <c r="AK192" s="105"/>
      <c r="AL192" s="105"/>
      <c r="AM192" s="105"/>
    </row>
    <row r="193" spans="1:39" ht="15">
      <c r="A193" s="62" t="s">
        <v>262</v>
      </c>
      <c r="B193" s="62" t="s">
        <v>297</v>
      </c>
      <c r="C193" s="63" t="s">
        <v>3598</v>
      </c>
      <c r="D193" s="64">
        <v>5.2631578947368425</v>
      </c>
      <c r="E193" s="65" t="s">
        <v>136</v>
      </c>
      <c r="F193" s="66">
        <v>31.50943396226415</v>
      </c>
      <c r="G193" s="63"/>
      <c r="H193" s="67"/>
      <c r="I193" s="68"/>
      <c r="J193" s="68"/>
      <c r="K193" s="31" t="s">
        <v>65</v>
      </c>
      <c r="L193" s="76">
        <v>193</v>
      </c>
      <c r="M193" s="76"/>
      <c r="N193" s="70"/>
      <c r="O193" s="78" t="s">
        <v>305</v>
      </c>
      <c r="P193" s="78" t="s">
        <v>369</v>
      </c>
      <c r="Q193" s="78" t="s">
        <v>757</v>
      </c>
      <c r="R193" s="78" t="s">
        <v>1320</v>
      </c>
      <c r="S193" s="78"/>
      <c r="T193" s="78"/>
      <c r="U193" s="78"/>
      <c r="V193" s="78"/>
      <c r="W193" s="81" t="s">
        <v>1674</v>
      </c>
      <c r="X193" s="81" t="s">
        <v>1674</v>
      </c>
      <c r="Y193" s="78"/>
      <c r="Z193" s="78"/>
      <c r="AA193" s="81" t="s">
        <v>1674</v>
      </c>
      <c r="AB193" s="79">
        <v>2</v>
      </c>
      <c r="AC193" s="80" t="str">
        <f>REPLACE(INDEX(GroupVertices[Group],MATCH("~"&amp;Edges[[#This Row],[Vertex 1]],GroupVertices[Vertex],0)),1,1,"")</f>
        <v>8</v>
      </c>
      <c r="AD193" s="80" t="str">
        <f>REPLACE(INDEX(GroupVertices[Group],MATCH("~"&amp;Edges[[#This Row],[Vertex 2]],GroupVertices[Vertex],0)),1,1,"")</f>
        <v>8</v>
      </c>
      <c r="AE193" s="105"/>
      <c r="AF193" s="105"/>
      <c r="AG193" s="105"/>
      <c r="AH193" s="105"/>
      <c r="AI193" s="105"/>
      <c r="AJ193" s="105"/>
      <c r="AK193" s="105"/>
      <c r="AL193" s="105"/>
      <c r="AM193" s="105"/>
    </row>
    <row r="194" spans="1:39" ht="15">
      <c r="A194" s="62" t="s">
        <v>262</v>
      </c>
      <c r="B194" s="62" t="s">
        <v>297</v>
      </c>
      <c r="C194" s="63" t="s">
        <v>3598</v>
      </c>
      <c r="D194" s="64">
        <v>5.2631578947368425</v>
      </c>
      <c r="E194" s="65" t="s">
        <v>136</v>
      </c>
      <c r="F194" s="66">
        <v>31.50943396226415</v>
      </c>
      <c r="G194" s="63"/>
      <c r="H194" s="67"/>
      <c r="I194" s="68"/>
      <c r="J194" s="68"/>
      <c r="K194" s="31" t="s">
        <v>65</v>
      </c>
      <c r="L194" s="76">
        <v>194</v>
      </c>
      <c r="M194" s="76"/>
      <c r="N194" s="70"/>
      <c r="O194" s="78" t="s">
        <v>305</v>
      </c>
      <c r="P194" s="78" t="s">
        <v>369</v>
      </c>
      <c r="Q194" s="78" t="s">
        <v>758</v>
      </c>
      <c r="R194" s="78" t="s">
        <v>1320</v>
      </c>
      <c r="S194" s="78"/>
      <c r="T194" s="78"/>
      <c r="U194" s="78"/>
      <c r="V194" s="78"/>
      <c r="W194" s="81" t="s">
        <v>1674</v>
      </c>
      <c r="X194" s="81" t="s">
        <v>1674</v>
      </c>
      <c r="Y194" s="78"/>
      <c r="Z194" s="78"/>
      <c r="AA194" s="81" t="s">
        <v>1674</v>
      </c>
      <c r="AB194" s="79">
        <v>2</v>
      </c>
      <c r="AC194" s="80" t="str">
        <f>REPLACE(INDEX(GroupVertices[Group],MATCH("~"&amp;Edges[[#This Row],[Vertex 1]],GroupVertices[Vertex],0)),1,1,"")</f>
        <v>8</v>
      </c>
      <c r="AD194" s="80" t="str">
        <f>REPLACE(INDEX(GroupVertices[Group],MATCH("~"&amp;Edges[[#This Row],[Vertex 2]],GroupVertices[Vertex],0)),1,1,"")</f>
        <v>8</v>
      </c>
      <c r="AE194" s="105"/>
      <c r="AF194" s="105"/>
      <c r="AG194" s="105"/>
      <c r="AH194" s="105"/>
      <c r="AI194" s="105"/>
      <c r="AJ194" s="105"/>
      <c r="AK194" s="105"/>
      <c r="AL194" s="105"/>
      <c r="AM194" s="105"/>
    </row>
    <row r="195" spans="1:39" ht="15">
      <c r="A195" s="62" t="s">
        <v>260</v>
      </c>
      <c r="B195" s="62" t="s">
        <v>297</v>
      </c>
      <c r="C195" s="63" t="s">
        <v>3598</v>
      </c>
      <c r="D195" s="64">
        <v>5.2631578947368425</v>
      </c>
      <c r="E195" s="65" t="s">
        <v>136</v>
      </c>
      <c r="F195" s="66">
        <v>31.50943396226415</v>
      </c>
      <c r="G195" s="63"/>
      <c r="H195" s="67"/>
      <c r="I195" s="68"/>
      <c r="J195" s="68"/>
      <c r="K195" s="31" t="s">
        <v>65</v>
      </c>
      <c r="L195" s="76">
        <v>195</v>
      </c>
      <c r="M195" s="76"/>
      <c r="N195" s="70"/>
      <c r="O195" s="78" t="s">
        <v>305</v>
      </c>
      <c r="P195" s="78" t="s">
        <v>368</v>
      </c>
      <c r="Q195" s="78" t="s">
        <v>759</v>
      </c>
      <c r="R195" s="78" t="s">
        <v>1319</v>
      </c>
      <c r="S195" s="78"/>
      <c r="T195" s="78"/>
      <c r="U195" s="78"/>
      <c r="V195" s="78"/>
      <c r="W195" s="81" t="s">
        <v>1674</v>
      </c>
      <c r="X195" s="81" t="s">
        <v>1674</v>
      </c>
      <c r="Y195" s="78"/>
      <c r="Z195" s="78"/>
      <c r="AA195" s="81" t="s">
        <v>1674</v>
      </c>
      <c r="AB195" s="79">
        <v>2</v>
      </c>
      <c r="AC195" s="80" t="str">
        <f>REPLACE(INDEX(GroupVertices[Group],MATCH("~"&amp;Edges[[#This Row],[Vertex 1]],GroupVertices[Vertex],0)),1,1,"")</f>
        <v>1</v>
      </c>
      <c r="AD195" s="80" t="str">
        <f>REPLACE(INDEX(GroupVertices[Group],MATCH("~"&amp;Edges[[#This Row],[Vertex 2]],GroupVertices[Vertex],0)),1,1,"")</f>
        <v>8</v>
      </c>
      <c r="AE195" s="105"/>
      <c r="AF195" s="105"/>
      <c r="AG195" s="105"/>
      <c r="AH195" s="105"/>
      <c r="AI195" s="105"/>
      <c r="AJ195" s="105"/>
      <c r="AK195" s="105"/>
      <c r="AL195" s="105"/>
      <c r="AM195" s="105"/>
    </row>
    <row r="196" spans="1:39" ht="15">
      <c r="A196" s="62" t="s">
        <v>260</v>
      </c>
      <c r="B196" s="62" t="s">
        <v>297</v>
      </c>
      <c r="C196" s="63" t="s">
        <v>3598</v>
      </c>
      <c r="D196" s="64">
        <v>5.2631578947368425</v>
      </c>
      <c r="E196" s="65" t="s">
        <v>136</v>
      </c>
      <c r="F196" s="66">
        <v>31.50943396226415</v>
      </c>
      <c r="G196" s="63"/>
      <c r="H196" s="67"/>
      <c r="I196" s="68"/>
      <c r="J196" s="68"/>
      <c r="K196" s="31" t="s">
        <v>65</v>
      </c>
      <c r="L196" s="76">
        <v>196</v>
      </c>
      <c r="M196" s="76"/>
      <c r="N196" s="70"/>
      <c r="O196" s="78" t="s">
        <v>305</v>
      </c>
      <c r="P196" s="78" t="s">
        <v>368</v>
      </c>
      <c r="Q196" s="78" t="s">
        <v>760</v>
      </c>
      <c r="R196" s="78" t="s">
        <v>1319</v>
      </c>
      <c r="S196" s="78"/>
      <c r="T196" s="78"/>
      <c r="U196" s="78"/>
      <c r="V196" s="78"/>
      <c r="W196" s="81" t="s">
        <v>1674</v>
      </c>
      <c r="X196" s="81" t="s">
        <v>1674</v>
      </c>
      <c r="Y196" s="78"/>
      <c r="Z196" s="78"/>
      <c r="AA196" s="81" t="s">
        <v>1674</v>
      </c>
      <c r="AB196" s="79">
        <v>2</v>
      </c>
      <c r="AC196" s="80" t="str">
        <f>REPLACE(INDEX(GroupVertices[Group],MATCH("~"&amp;Edges[[#This Row],[Vertex 1]],GroupVertices[Vertex],0)),1,1,"")</f>
        <v>1</v>
      </c>
      <c r="AD196" s="80" t="str">
        <f>REPLACE(INDEX(GroupVertices[Group],MATCH("~"&amp;Edges[[#This Row],[Vertex 2]],GroupVertices[Vertex],0)),1,1,"")</f>
        <v>8</v>
      </c>
      <c r="AE196" s="105"/>
      <c r="AF196" s="105"/>
      <c r="AG196" s="105"/>
      <c r="AH196" s="105"/>
      <c r="AI196" s="105"/>
      <c r="AJ196" s="105"/>
      <c r="AK196" s="105"/>
      <c r="AL196" s="105"/>
      <c r="AM196" s="105"/>
    </row>
    <row r="197" spans="1:39" ht="15">
      <c r="A197" s="62" t="s">
        <v>237</v>
      </c>
      <c r="B197" s="62" t="s">
        <v>298</v>
      </c>
      <c r="C197" s="63" t="s">
        <v>3602</v>
      </c>
      <c r="D197" s="64">
        <v>5.526315789473684</v>
      </c>
      <c r="E197" s="65" t="s">
        <v>136</v>
      </c>
      <c r="F197" s="66">
        <v>31.0188679245283</v>
      </c>
      <c r="G197" s="63"/>
      <c r="H197" s="67"/>
      <c r="I197" s="68"/>
      <c r="J197" s="68"/>
      <c r="K197" s="31" t="s">
        <v>65</v>
      </c>
      <c r="L197" s="76">
        <v>197</v>
      </c>
      <c r="M197" s="76"/>
      <c r="N197" s="70"/>
      <c r="O197" s="78" t="s">
        <v>305</v>
      </c>
      <c r="P197" s="78" t="s">
        <v>370</v>
      </c>
      <c r="Q197" s="78" t="s">
        <v>761</v>
      </c>
      <c r="R197" s="78" t="s">
        <v>1321</v>
      </c>
      <c r="S197" s="78"/>
      <c r="T197" s="78"/>
      <c r="U197" s="78"/>
      <c r="V197" s="78"/>
      <c r="W197" s="81" t="s">
        <v>1674</v>
      </c>
      <c r="X197" s="81" t="s">
        <v>1674</v>
      </c>
      <c r="Y197" s="78"/>
      <c r="Z197" s="78"/>
      <c r="AA197" s="81" t="s">
        <v>1674</v>
      </c>
      <c r="AB197" s="79">
        <v>3</v>
      </c>
      <c r="AC197" s="80" t="str">
        <f>REPLACE(INDEX(GroupVertices[Group],MATCH("~"&amp;Edges[[#This Row],[Vertex 1]],GroupVertices[Vertex],0)),1,1,"")</f>
        <v>5</v>
      </c>
      <c r="AD197" s="80" t="str">
        <f>REPLACE(INDEX(GroupVertices[Group],MATCH("~"&amp;Edges[[#This Row],[Vertex 2]],GroupVertices[Vertex],0)),1,1,"")</f>
        <v>5</v>
      </c>
      <c r="AE197" s="105"/>
      <c r="AF197" s="105"/>
      <c r="AG197" s="105"/>
      <c r="AH197" s="105"/>
      <c r="AI197" s="105"/>
      <c r="AJ197" s="105"/>
      <c r="AK197" s="105"/>
      <c r="AL197" s="105"/>
      <c r="AM197" s="105"/>
    </row>
    <row r="198" spans="1:39" ht="15">
      <c r="A198" s="62" t="s">
        <v>237</v>
      </c>
      <c r="B198" s="62" t="s">
        <v>298</v>
      </c>
      <c r="C198" s="63" t="s">
        <v>3602</v>
      </c>
      <c r="D198" s="64">
        <v>5.526315789473684</v>
      </c>
      <c r="E198" s="65" t="s">
        <v>136</v>
      </c>
      <c r="F198" s="66">
        <v>31.0188679245283</v>
      </c>
      <c r="G198" s="63"/>
      <c r="H198" s="67"/>
      <c r="I198" s="68"/>
      <c r="J198" s="68"/>
      <c r="K198" s="31" t="s">
        <v>65</v>
      </c>
      <c r="L198" s="76">
        <v>198</v>
      </c>
      <c r="M198" s="76"/>
      <c r="N198" s="70"/>
      <c r="O198" s="78" t="s">
        <v>305</v>
      </c>
      <c r="P198" s="78" t="s">
        <v>370</v>
      </c>
      <c r="Q198" s="78" t="s">
        <v>762</v>
      </c>
      <c r="R198" s="78" t="s">
        <v>1321</v>
      </c>
      <c r="S198" s="78"/>
      <c r="T198" s="78"/>
      <c r="U198" s="78"/>
      <c r="V198" s="78"/>
      <c r="W198" s="81" t="s">
        <v>1674</v>
      </c>
      <c r="X198" s="81" t="s">
        <v>1674</v>
      </c>
      <c r="Y198" s="78"/>
      <c r="Z198" s="78"/>
      <c r="AA198" s="81" t="s">
        <v>1674</v>
      </c>
      <c r="AB198" s="79">
        <v>3</v>
      </c>
      <c r="AC198" s="80" t="str">
        <f>REPLACE(INDEX(GroupVertices[Group],MATCH("~"&amp;Edges[[#This Row],[Vertex 1]],GroupVertices[Vertex],0)),1,1,"")</f>
        <v>5</v>
      </c>
      <c r="AD198" s="80" t="str">
        <f>REPLACE(INDEX(GroupVertices[Group],MATCH("~"&amp;Edges[[#This Row],[Vertex 2]],GroupVertices[Vertex],0)),1,1,"")</f>
        <v>5</v>
      </c>
      <c r="AE198" s="105"/>
      <c r="AF198" s="105"/>
      <c r="AG198" s="105"/>
      <c r="AH198" s="105"/>
      <c r="AI198" s="105"/>
      <c r="AJ198" s="105"/>
      <c r="AK198" s="105"/>
      <c r="AL198" s="105"/>
      <c r="AM198" s="105"/>
    </row>
    <row r="199" spans="1:39" ht="15">
      <c r="A199" s="62" t="s">
        <v>237</v>
      </c>
      <c r="B199" s="62" t="s">
        <v>298</v>
      </c>
      <c r="C199" s="63" t="s">
        <v>3602</v>
      </c>
      <c r="D199" s="64">
        <v>5.526315789473684</v>
      </c>
      <c r="E199" s="65" t="s">
        <v>136</v>
      </c>
      <c r="F199" s="66">
        <v>31.0188679245283</v>
      </c>
      <c r="G199" s="63"/>
      <c r="H199" s="67"/>
      <c r="I199" s="68"/>
      <c r="J199" s="68"/>
      <c r="K199" s="31" t="s">
        <v>65</v>
      </c>
      <c r="L199" s="76">
        <v>199</v>
      </c>
      <c r="M199" s="76"/>
      <c r="N199" s="70"/>
      <c r="O199" s="78" t="s">
        <v>305</v>
      </c>
      <c r="P199" s="78" t="s">
        <v>370</v>
      </c>
      <c r="Q199" s="78" t="s">
        <v>763</v>
      </c>
      <c r="R199" s="78" t="s">
        <v>1321</v>
      </c>
      <c r="S199" s="78"/>
      <c r="T199" s="78"/>
      <c r="U199" s="78"/>
      <c r="V199" s="78"/>
      <c r="W199" s="81" t="s">
        <v>1674</v>
      </c>
      <c r="X199" s="81" t="s">
        <v>1674</v>
      </c>
      <c r="Y199" s="78"/>
      <c r="Z199" s="78"/>
      <c r="AA199" s="81" t="s">
        <v>1674</v>
      </c>
      <c r="AB199" s="79">
        <v>3</v>
      </c>
      <c r="AC199" s="80" t="str">
        <f>REPLACE(INDEX(GroupVertices[Group],MATCH("~"&amp;Edges[[#This Row],[Vertex 1]],GroupVertices[Vertex],0)),1,1,"")</f>
        <v>5</v>
      </c>
      <c r="AD199" s="80" t="str">
        <f>REPLACE(INDEX(GroupVertices[Group],MATCH("~"&amp;Edges[[#This Row],[Vertex 2]],GroupVertices[Vertex],0)),1,1,"")</f>
        <v>5</v>
      </c>
      <c r="AE199" s="105"/>
      <c r="AF199" s="105"/>
      <c r="AG199" s="105"/>
      <c r="AH199" s="105"/>
      <c r="AI199" s="105"/>
      <c r="AJ199" s="105"/>
      <c r="AK199" s="105"/>
      <c r="AL199" s="105"/>
      <c r="AM199" s="105"/>
    </row>
    <row r="200" spans="1:39" ht="15">
      <c r="A200" s="62" t="s">
        <v>237</v>
      </c>
      <c r="B200" s="62" t="s">
        <v>295</v>
      </c>
      <c r="C200" s="63" t="s">
        <v>3598</v>
      </c>
      <c r="D200" s="64">
        <v>5</v>
      </c>
      <c r="E200" s="65" t="s">
        <v>132</v>
      </c>
      <c r="F200" s="66">
        <v>32</v>
      </c>
      <c r="G200" s="63"/>
      <c r="H200" s="67"/>
      <c r="I200" s="68"/>
      <c r="J200" s="68"/>
      <c r="K200" s="31" t="s">
        <v>65</v>
      </c>
      <c r="L200" s="76">
        <v>200</v>
      </c>
      <c r="M200" s="76"/>
      <c r="N200" s="70"/>
      <c r="O200" s="78" t="s">
        <v>305</v>
      </c>
      <c r="P200" s="78" t="s">
        <v>371</v>
      </c>
      <c r="Q200" s="78" t="s">
        <v>764</v>
      </c>
      <c r="R200" s="78" t="s">
        <v>1322</v>
      </c>
      <c r="S200" s="78"/>
      <c r="T200" s="78"/>
      <c r="U200" s="78"/>
      <c r="V200" s="78"/>
      <c r="W200" s="81" t="s">
        <v>1674</v>
      </c>
      <c r="X200" s="81" t="s">
        <v>1674</v>
      </c>
      <c r="Y200" s="78"/>
      <c r="Z200" s="78"/>
      <c r="AA200" s="81" t="s">
        <v>1674</v>
      </c>
      <c r="AB200" s="79">
        <v>1</v>
      </c>
      <c r="AC200" s="80" t="str">
        <f>REPLACE(INDEX(GroupVertices[Group],MATCH("~"&amp;Edges[[#This Row],[Vertex 1]],GroupVertices[Vertex],0)),1,1,"")</f>
        <v>5</v>
      </c>
      <c r="AD200" s="80" t="str">
        <f>REPLACE(INDEX(GroupVertices[Group],MATCH("~"&amp;Edges[[#This Row],[Vertex 2]],GroupVertices[Vertex],0)),1,1,"")</f>
        <v>2</v>
      </c>
      <c r="AE200" s="105"/>
      <c r="AF200" s="105"/>
      <c r="AG200" s="105"/>
      <c r="AH200" s="105"/>
      <c r="AI200" s="105"/>
      <c r="AJ200" s="105"/>
      <c r="AK200" s="105"/>
      <c r="AL200" s="105"/>
      <c r="AM200" s="105"/>
    </row>
    <row r="201" spans="1:39" ht="15">
      <c r="A201" s="62" t="s">
        <v>237</v>
      </c>
      <c r="B201" s="62" t="s">
        <v>249</v>
      </c>
      <c r="C201" s="63" t="s">
        <v>3598</v>
      </c>
      <c r="D201" s="64">
        <v>5</v>
      </c>
      <c r="E201" s="65" t="s">
        <v>132</v>
      </c>
      <c r="F201" s="66">
        <v>32</v>
      </c>
      <c r="G201" s="63"/>
      <c r="H201" s="67"/>
      <c r="I201" s="68"/>
      <c r="J201" s="68"/>
      <c r="K201" s="31" t="s">
        <v>65</v>
      </c>
      <c r="L201" s="76">
        <v>201</v>
      </c>
      <c r="M201" s="76"/>
      <c r="N201" s="70"/>
      <c r="O201" s="78" t="s">
        <v>305</v>
      </c>
      <c r="P201" s="78" t="s">
        <v>372</v>
      </c>
      <c r="Q201" s="78" t="s">
        <v>765</v>
      </c>
      <c r="R201" s="78" t="s">
        <v>1323</v>
      </c>
      <c r="S201" s="78"/>
      <c r="T201" s="78"/>
      <c r="U201" s="78"/>
      <c r="V201" s="78"/>
      <c r="W201" s="81" t="s">
        <v>1674</v>
      </c>
      <c r="X201" s="81" t="s">
        <v>1674</v>
      </c>
      <c r="Y201" s="78"/>
      <c r="Z201" s="78"/>
      <c r="AA201" s="81" t="s">
        <v>1674</v>
      </c>
      <c r="AB201" s="79">
        <v>1</v>
      </c>
      <c r="AC201" s="80" t="str">
        <f>REPLACE(INDEX(GroupVertices[Group],MATCH("~"&amp;Edges[[#This Row],[Vertex 1]],GroupVertices[Vertex],0)),1,1,"")</f>
        <v>5</v>
      </c>
      <c r="AD201" s="80" t="str">
        <f>REPLACE(INDEX(GroupVertices[Group],MATCH("~"&amp;Edges[[#This Row],[Vertex 2]],GroupVertices[Vertex],0)),1,1,"")</f>
        <v>2</v>
      </c>
      <c r="AE201" s="105"/>
      <c r="AF201" s="105"/>
      <c r="AG201" s="105"/>
      <c r="AH201" s="105"/>
      <c r="AI201" s="105"/>
      <c r="AJ201" s="105"/>
      <c r="AK201" s="105"/>
      <c r="AL201" s="105"/>
      <c r="AM201" s="105"/>
    </row>
    <row r="202" spans="1:39" ht="15">
      <c r="A202" s="62" t="s">
        <v>237</v>
      </c>
      <c r="B202" s="62" t="s">
        <v>223</v>
      </c>
      <c r="C202" s="63" t="s">
        <v>3599</v>
      </c>
      <c r="D202" s="64">
        <v>6.315789473684211</v>
      </c>
      <c r="E202" s="65" t="s">
        <v>136</v>
      </c>
      <c r="F202" s="66">
        <v>29.547169811320757</v>
      </c>
      <c r="G202" s="63"/>
      <c r="H202" s="67"/>
      <c r="I202" s="68"/>
      <c r="J202" s="68"/>
      <c r="K202" s="31" t="s">
        <v>65</v>
      </c>
      <c r="L202" s="76">
        <v>202</v>
      </c>
      <c r="M202" s="76"/>
      <c r="N202" s="70"/>
      <c r="O202" s="78" t="s">
        <v>305</v>
      </c>
      <c r="P202" s="78" t="s">
        <v>370</v>
      </c>
      <c r="Q202" s="78" t="s">
        <v>761</v>
      </c>
      <c r="R202" s="78" t="s">
        <v>927</v>
      </c>
      <c r="S202" s="78"/>
      <c r="T202" s="78"/>
      <c r="U202" s="78"/>
      <c r="V202" s="78"/>
      <c r="W202" s="81" t="s">
        <v>1674</v>
      </c>
      <c r="X202" s="81" t="s">
        <v>1674</v>
      </c>
      <c r="Y202" s="78"/>
      <c r="Z202" s="78"/>
      <c r="AA202" s="81" t="s">
        <v>1674</v>
      </c>
      <c r="AB202" s="79">
        <v>6</v>
      </c>
      <c r="AC202" s="80" t="str">
        <f>REPLACE(INDEX(GroupVertices[Group],MATCH("~"&amp;Edges[[#This Row],[Vertex 1]],GroupVertices[Vertex],0)),1,1,"")</f>
        <v>5</v>
      </c>
      <c r="AD202" s="80" t="str">
        <f>REPLACE(INDEX(GroupVertices[Group],MATCH("~"&amp;Edges[[#This Row],[Vertex 2]],GroupVertices[Vertex],0)),1,1,"")</f>
        <v>5</v>
      </c>
      <c r="AE202" s="105"/>
      <c r="AF202" s="105"/>
      <c r="AG202" s="105"/>
      <c r="AH202" s="105"/>
      <c r="AI202" s="105"/>
      <c r="AJ202" s="105"/>
      <c r="AK202" s="105"/>
      <c r="AL202" s="105"/>
      <c r="AM202" s="105"/>
    </row>
    <row r="203" spans="1:39" ht="15">
      <c r="A203" s="62" t="s">
        <v>237</v>
      </c>
      <c r="B203" s="62" t="s">
        <v>223</v>
      </c>
      <c r="C203" s="63" t="s">
        <v>3599</v>
      </c>
      <c r="D203" s="64">
        <v>6.315789473684211</v>
      </c>
      <c r="E203" s="65" t="s">
        <v>136</v>
      </c>
      <c r="F203" s="66">
        <v>29.547169811320757</v>
      </c>
      <c r="G203" s="63"/>
      <c r="H203" s="67"/>
      <c r="I203" s="68"/>
      <c r="J203" s="68"/>
      <c r="K203" s="31" t="s">
        <v>65</v>
      </c>
      <c r="L203" s="76">
        <v>203</v>
      </c>
      <c r="M203" s="76"/>
      <c r="N203" s="70"/>
      <c r="O203" s="78" t="s">
        <v>305</v>
      </c>
      <c r="P203" s="78" t="s">
        <v>370</v>
      </c>
      <c r="Q203" s="78" t="s">
        <v>761</v>
      </c>
      <c r="R203" s="78" t="s">
        <v>928</v>
      </c>
      <c r="S203" s="78"/>
      <c r="T203" s="78"/>
      <c r="U203" s="78"/>
      <c r="V203" s="78"/>
      <c r="W203" s="81" t="s">
        <v>1674</v>
      </c>
      <c r="X203" s="81" t="s">
        <v>1674</v>
      </c>
      <c r="Y203" s="78"/>
      <c r="Z203" s="78"/>
      <c r="AA203" s="81" t="s">
        <v>1674</v>
      </c>
      <c r="AB203" s="79">
        <v>6</v>
      </c>
      <c r="AC203" s="80" t="str">
        <f>REPLACE(INDEX(GroupVertices[Group],MATCH("~"&amp;Edges[[#This Row],[Vertex 1]],GroupVertices[Vertex],0)),1,1,"")</f>
        <v>5</v>
      </c>
      <c r="AD203" s="80" t="str">
        <f>REPLACE(INDEX(GroupVertices[Group],MATCH("~"&amp;Edges[[#This Row],[Vertex 2]],GroupVertices[Vertex],0)),1,1,"")</f>
        <v>5</v>
      </c>
      <c r="AE203" s="105"/>
      <c r="AF203" s="105"/>
      <c r="AG203" s="105"/>
      <c r="AH203" s="105"/>
      <c r="AI203" s="105"/>
      <c r="AJ203" s="105"/>
      <c r="AK203" s="105"/>
      <c r="AL203" s="105"/>
      <c r="AM203" s="105"/>
    </row>
    <row r="204" spans="1:39" ht="15">
      <c r="A204" s="62" t="s">
        <v>237</v>
      </c>
      <c r="B204" s="62" t="s">
        <v>223</v>
      </c>
      <c r="C204" s="63" t="s">
        <v>3599</v>
      </c>
      <c r="D204" s="64">
        <v>6.315789473684211</v>
      </c>
      <c r="E204" s="65" t="s">
        <v>136</v>
      </c>
      <c r="F204" s="66">
        <v>29.547169811320757</v>
      </c>
      <c r="G204" s="63"/>
      <c r="H204" s="67"/>
      <c r="I204" s="68"/>
      <c r="J204" s="68"/>
      <c r="K204" s="31" t="s">
        <v>65</v>
      </c>
      <c r="L204" s="76">
        <v>204</v>
      </c>
      <c r="M204" s="76"/>
      <c r="N204" s="70"/>
      <c r="O204" s="78" t="s">
        <v>305</v>
      </c>
      <c r="P204" s="78" t="s">
        <v>370</v>
      </c>
      <c r="Q204" s="78" t="s">
        <v>762</v>
      </c>
      <c r="R204" s="78" t="s">
        <v>927</v>
      </c>
      <c r="S204" s="78"/>
      <c r="T204" s="78"/>
      <c r="U204" s="78"/>
      <c r="V204" s="78"/>
      <c r="W204" s="81" t="s">
        <v>1674</v>
      </c>
      <c r="X204" s="81" t="s">
        <v>1674</v>
      </c>
      <c r="Y204" s="78"/>
      <c r="Z204" s="78"/>
      <c r="AA204" s="81" t="s">
        <v>1674</v>
      </c>
      <c r="AB204" s="79">
        <v>6</v>
      </c>
      <c r="AC204" s="80" t="str">
        <f>REPLACE(INDEX(GroupVertices[Group],MATCH("~"&amp;Edges[[#This Row],[Vertex 1]],GroupVertices[Vertex],0)),1,1,"")</f>
        <v>5</v>
      </c>
      <c r="AD204" s="80" t="str">
        <f>REPLACE(INDEX(GroupVertices[Group],MATCH("~"&amp;Edges[[#This Row],[Vertex 2]],GroupVertices[Vertex],0)),1,1,"")</f>
        <v>5</v>
      </c>
      <c r="AE204" s="105"/>
      <c r="AF204" s="105"/>
      <c r="AG204" s="105"/>
      <c r="AH204" s="105"/>
      <c r="AI204" s="105"/>
      <c r="AJ204" s="105"/>
      <c r="AK204" s="105"/>
      <c r="AL204" s="105"/>
      <c r="AM204" s="105"/>
    </row>
    <row r="205" spans="1:39" ht="15">
      <c r="A205" s="62" t="s">
        <v>237</v>
      </c>
      <c r="B205" s="62" t="s">
        <v>223</v>
      </c>
      <c r="C205" s="63" t="s">
        <v>3599</v>
      </c>
      <c r="D205" s="64">
        <v>6.315789473684211</v>
      </c>
      <c r="E205" s="65" t="s">
        <v>136</v>
      </c>
      <c r="F205" s="66">
        <v>29.547169811320757</v>
      </c>
      <c r="G205" s="63"/>
      <c r="H205" s="67"/>
      <c r="I205" s="68"/>
      <c r="J205" s="68"/>
      <c r="K205" s="31" t="s">
        <v>65</v>
      </c>
      <c r="L205" s="76">
        <v>205</v>
      </c>
      <c r="M205" s="76"/>
      <c r="N205" s="70"/>
      <c r="O205" s="78" t="s">
        <v>305</v>
      </c>
      <c r="P205" s="78" t="s">
        <v>370</v>
      </c>
      <c r="Q205" s="78" t="s">
        <v>762</v>
      </c>
      <c r="R205" s="78" t="s">
        <v>928</v>
      </c>
      <c r="S205" s="78"/>
      <c r="T205" s="78"/>
      <c r="U205" s="78"/>
      <c r="V205" s="78"/>
      <c r="W205" s="81" t="s">
        <v>1674</v>
      </c>
      <c r="X205" s="81" t="s">
        <v>1674</v>
      </c>
      <c r="Y205" s="78"/>
      <c r="Z205" s="78"/>
      <c r="AA205" s="81" t="s">
        <v>1674</v>
      </c>
      <c r="AB205" s="79">
        <v>6</v>
      </c>
      <c r="AC205" s="80" t="str">
        <f>REPLACE(INDEX(GroupVertices[Group],MATCH("~"&amp;Edges[[#This Row],[Vertex 1]],GroupVertices[Vertex],0)),1,1,"")</f>
        <v>5</v>
      </c>
      <c r="AD205" s="80" t="str">
        <f>REPLACE(INDEX(GroupVertices[Group],MATCH("~"&amp;Edges[[#This Row],[Vertex 2]],GroupVertices[Vertex],0)),1,1,"")</f>
        <v>5</v>
      </c>
      <c r="AE205" s="105"/>
      <c r="AF205" s="105"/>
      <c r="AG205" s="105"/>
      <c r="AH205" s="105"/>
      <c r="AI205" s="105"/>
      <c r="AJ205" s="105"/>
      <c r="AK205" s="105"/>
      <c r="AL205" s="105"/>
      <c r="AM205" s="105"/>
    </row>
    <row r="206" spans="1:39" ht="15">
      <c r="A206" s="62" t="s">
        <v>237</v>
      </c>
      <c r="B206" s="62" t="s">
        <v>223</v>
      </c>
      <c r="C206" s="63" t="s">
        <v>3599</v>
      </c>
      <c r="D206" s="64">
        <v>6.315789473684211</v>
      </c>
      <c r="E206" s="65" t="s">
        <v>136</v>
      </c>
      <c r="F206" s="66">
        <v>29.547169811320757</v>
      </c>
      <c r="G206" s="63"/>
      <c r="H206" s="67"/>
      <c r="I206" s="68"/>
      <c r="J206" s="68"/>
      <c r="K206" s="31" t="s">
        <v>65</v>
      </c>
      <c r="L206" s="76">
        <v>206</v>
      </c>
      <c r="M206" s="76"/>
      <c r="N206" s="70"/>
      <c r="O206" s="78" t="s">
        <v>305</v>
      </c>
      <c r="P206" s="78" t="s">
        <v>370</v>
      </c>
      <c r="Q206" s="78" t="s">
        <v>763</v>
      </c>
      <c r="R206" s="78" t="s">
        <v>927</v>
      </c>
      <c r="S206" s="78"/>
      <c r="T206" s="78"/>
      <c r="U206" s="78"/>
      <c r="V206" s="78"/>
      <c r="W206" s="81" t="s">
        <v>1674</v>
      </c>
      <c r="X206" s="81" t="s">
        <v>1674</v>
      </c>
      <c r="Y206" s="78"/>
      <c r="Z206" s="78"/>
      <c r="AA206" s="81" t="s">
        <v>1674</v>
      </c>
      <c r="AB206" s="79">
        <v>6</v>
      </c>
      <c r="AC206" s="80" t="str">
        <f>REPLACE(INDEX(GroupVertices[Group],MATCH("~"&amp;Edges[[#This Row],[Vertex 1]],GroupVertices[Vertex],0)),1,1,"")</f>
        <v>5</v>
      </c>
      <c r="AD206" s="80" t="str">
        <f>REPLACE(INDEX(GroupVertices[Group],MATCH("~"&amp;Edges[[#This Row],[Vertex 2]],GroupVertices[Vertex],0)),1,1,"")</f>
        <v>5</v>
      </c>
      <c r="AE206" s="105"/>
      <c r="AF206" s="105"/>
      <c r="AG206" s="105"/>
      <c r="AH206" s="105"/>
      <c r="AI206" s="105"/>
      <c r="AJ206" s="105"/>
      <c r="AK206" s="105"/>
      <c r="AL206" s="105"/>
      <c r="AM206" s="105"/>
    </row>
    <row r="207" spans="1:39" ht="15">
      <c r="A207" s="62" t="s">
        <v>237</v>
      </c>
      <c r="B207" s="62" t="s">
        <v>223</v>
      </c>
      <c r="C207" s="63" t="s">
        <v>3599</v>
      </c>
      <c r="D207" s="64">
        <v>6.315789473684211</v>
      </c>
      <c r="E207" s="65" t="s">
        <v>136</v>
      </c>
      <c r="F207" s="66">
        <v>29.547169811320757</v>
      </c>
      <c r="G207" s="63"/>
      <c r="H207" s="67"/>
      <c r="I207" s="68"/>
      <c r="J207" s="68"/>
      <c r="K207" s="31" t="s">
        <v>65</v>
      </c>
      <c r="L207" s="76">
        <v>207</v>
      </c>
      <c r="M207" s="76"/>
      <c r="N207" s="70"/>
      <c r="O207" s="78" t="s">
        <v>305</v>
      </c>
      <c r="P207" s="78" t="s">
        <v>370</v>
      </c>
      <c r="Q207" s="78" t="s">
        <v>763</v>
      </c>
      <c r="R207" s="78" t="s">
        <v>928</v>
      </c>
      <c r="S207" s="78"/>
      <c r="T207" s="78"/>
      <c r="U207" s="78"/>
      <c r="V207" s="78"/>
      <c r="W207" s="81" t="s">
        <v>1674</v>
      </c>
      <c r="X207" s="81" t="s">
        <v>1674</v>
      </c>
      <c r="Y207" s="78"/>
      <c r="Z207" s="78"/>
      <c r="AA207" s="81" t="s">
        <v>1674</v>
      </c>
      <c r="AB207" s="79">
        <v>6</v>
      </c>
      <c r="AC207" s="80" t="str">
        <f>REPLACE(INDEX(GroupVertices[Group],MATCH("~"&amp;Edges[[#This Row],[Vertex 1]],GroupVertices[Vertex],0)),1,1,"")</f>
        <v>5</v>
      </c>
      <c r="AD207" s="80" t="str">
        <f>REPLACE(INDEX(GroupVertices[Group],MATCH("~"&amp;Edges[[#This Row],[Vertex 2]],GroupVertices[Vertex],0)),1,1,"")</f>
        <v>5</v>
      </c>
      <c r="AE207" s="105"/>
      <c r="AF207" s="105"/>
      <c r="AG207" s="105"/>
      <c r="AH207" s="105"/>
      <c r="AI207" s="105"/>
      <c r="AJ207" s="105"/>
      <c r="AK207" s="105"/>
      <c r="AL207" s="105"/>
      <c r="AM207" s="105"/>
    </row>
    <row r="208" spans="1:39" ht="15">
      <c r="A208" s="62" t="s">
        <v>237</v>
      </c>
      <c r="B208" s="62" t="s">
        <v>239</v>
      </c>
      <c r="C208" s="63" t="s">
        <v>3599</v>
      </c>
      <c r="D208" s="64">
        <v>6.315789473684211</v>
      </c>
      <c r="E208" s="65" t="s">
        <v>136</v>
      </c>
      <c r="F208" s="66">
        <v>29.547169811320757</v>
      </c>
      <c r="G208" s="63"/>
      <c r="H208" s="67"/>
      <c r="I208" s="68"/>
      <c r="J208" s="68"/>
      <c r="K208" s="31" t="s">
        <v>65</v>
      </c>
      <c r="L208" s="76">
        <v>208</v>
      </c>
      <c r="M208" s="76"/>
      <c r="N208" s="70"/>
      <c r="O208" s="78" t="s">
        <v>305</v>
      </c>
      <c r="P208" s="78" t="s">
        <v>373</v>
      </c>
      <c r="Q208" s="78" t="s">
        <v>766</v>
      </c>
      <c r="R208" s="78" t="s">
        <v>1324</v>
      </c>
      <c r="S208" s="78"/>
      <c r="T208" s="78"/>
      <c r="U208" s="78"/>
      <c r="V208" s="78"/>
      <c r="W208" s="81" t="s">
        <v>1674</v>
      </c>
      <c r="X208" s="81" t="s">
        <v>1674</v>
      </c>
      <c r="Y208" s="78"/>
      <c r="Z208" s="78"/>
      <c r="AA208" s="81" t="s">
        <v>1674</v>
      </c>
      <c r="AB208" s="79">
        <v>6</v>
      </c>
      <c r="AC208" s="80" t="str">
        <f>REPLACE(INDEX(GroupVertices[Group],MATCH("~"&amp;Edges[[#This Row],[Vertex 1]],GroupVertices[Vertex],0)),1,1,"")</f>
        <v>5</v>
      </c>
      <c r="AD208" s="80" t="str">
        <f>REPLACE(INDEX(GroupVertices[Group],MATCH("~"&amp;Edges[[#This Row],[Vertex 2]],GroupVertices[Vertex],0)),1,1,"")</f>
        <v>5</v>
      </c>
      <c r="AE208" s="105"/>
      <c r="AF208" s="105"/>
      <c r="AG208" s="105"/>
      <c r="AH208" s="105"/>
      <c r="AI208" s="105"/>
      <c r="AJ208" s="105"/>
      <c r="AK208" s="105"/>
      <c r="AL208" s="105"/>
      <c r="AM208" s="105"/>
    </row>
    <row r="209" spans="1:39" ht="15">
      <c r="A209" s="62" t="s">
        <v>237</v>
      </c>
      <c r="B209" s="62" t="s">
        <v>239</v>
      </c>
      <c r="C209" s="63" t="s">
        <v>3599</v>
      </c>
      <c r="D209" s="64">
        <v>6.315789473684211</v>
      </c>
      <c r="E209" s="65" t="s">
        <v>136</v>
      </c>
      <c r="F209" s="66">
        <v>29.547169811320757</v>
      </c>
      <c r="G209" s="63"/>
      <c r="H209" s="67"/>
      <c r="I209" s="68"/>
      <c r="J209" s="68"/>
      <c r="K209" s="31" t="s">
        <v>65</v>
      </c>
      <c r="L209" s="76">
        <v>209</v>
      </c>
      <c r="M209" s="76"/>
      <c r="N209" s="70"/>
      <c r="O209" s="78" t="s">
        <v>305</v>
      </c>
      <c r="P209" s="78" t="s">
        <v>373</v>
      </c>
      <c r="Q209" s="78" t="s">
        <v>766</v>
      </c>
      <c r="R209" s="78" t="s">
        <v>1325</v>
      </c>
      <c r="S209" s="78"/>
      <c r="T209" s="78"/>
      <c r="U209" s="78"/>
      <c r="V209" s="78"/>
      <c r="W209" s="81" t="s">
        <v>1674</v>
      </c>
      <c r="X209" s="81" t="s">
        <v>1674</v>
      </c>
      <c r="Y209" s="78"/>
      <c r="Z209" s="78"/>
      <c r="AA209" s="81" t="s">
        <v>1674</v>
      </c>
      <c r="AB209" s="79">
        <v>6</v>
      </c>
      <c r="AC209" s="80" t="str">
        <f>REPLACE(INDEX(GroupVertices[Group],MATCH("~"&amp;Edges[[#This Row],[Vertex 1]],GroupVertices[Vertex],0)),1,1,"")</f>
        <v>5</v>
      </c>
      <c r="AD209" s="80" t="str">
        <f>REPLACE(INDEX(GroupVertices[Group],MATCH("~"&amp;Edges[[#This Row],[Vertex 2]],GroupVertices[Vertex],0)),1,1,"")</f>
        <v>5</v>
      </c>
      <c r="AE209" s="105"/>
      <c r="AF209" s="105"/>
      <c r="AG209" s="105"/>
      <c r="AH209" s="105"/>
      <c r="AI209" s="105"/>
      <c r="AJ209" s="105"/>
      <c r="AK209" s="105"/>
      <c r="AL209" s="105"/>
      <c r="AM209" s="105"/>
    </row>
    <row r="210" spans="1:39" ht="15">
      <c r="A210" s="62" t="s">
        <v>237</v>
      </c>
      <c r="B210" s="62" t="s">
        <v>239</v>
      </c>
      <c r="C210" s="63" t="s">
        <v>3599</v>
      </c>
      <c r="D210" s="64">
        <v>6.315789473684211</v>
      </c>
      <c r="E210" s="65" t="s">
        <v>136</v>
      </c>
      <c r="F210" s="66">
        <v>29.547169811320757</v>
      </c>
      <c r="G210" s="63"/>
      <c r="H210" s="67"/>
      <c r="I210" s="68"/>
      <c r="J210" s="68"/>
      <c r="K210" s="31" t="s">
        <v>65</v>
      </c>
      <c r="L210" s="76">
        <v>210</v>
      </c>
      <c r="M210" s="76"/>
      <c r="N210" s="70"/>
      <c r="O210" s="78" t="s">
        <v>305</v>
      </c>
      <c r="P210" s="78" t="s">
        <v>373</v>
      </c>
      <c r="Q210" s="78" t="s">
        <v>767</v>
      </c>
      <c r="R210" s="78" t="s">
        <v>1324</v>
      </c>
      <c r="S210" s="78"/>
      <c r="T210" s="78"/>
      <c r="U210" s="78"/>
      <c r="V210" s="78"/>
      <c r="W210" s="81" t="s">
        <v>1674</v>
      </c>
      <c r="X210" s="81" t="s">
        <v>1674</v>
      </c>
      <c r="Y210" s="78"/>
      <c r="Z210" s="78"/>
      <c r="AA210" s="81" t="s">
        <v>1674</v>
      </c>
      <c r="AB210" s="79">
        <v>6</v>
      </c>
      <c r="AC210" s="80" t="str">
        <f>REPLACE(INDEX(GroupVertices[Group],MATCH("~"&amp;Edges[[#This Row],[Vertex 1]],GroupVertices[Vertex],0)),1,1,"")</f>
        <v>5</v>
      </c>
      <c r="AD210" s="80" t="str">
        <f>REPLACE(INDEX(GroupVertices[Group],MATCH("~"&amp;Edges[[#This Row],[Vertex 2]],GroupVertices[Vertex],0)),1,1,"")</f>
        <v>5</v>
      </c>
      <c r="AE210" s="105"/>
      <c r="AF210" s="105"/>
      <c r="AG210" s="105"/>
      <c r="AH210" s="105"/>
      <c r="AI210" s="105"/>
      <c r="AJ210" s="105"/>
      <c r="AK210" s="105"/>
      <c r="AL210" s="105"/>
      <c r="AM210" s="105"/>
    </row>
    <row r="211" spans="1:39" ht="15">
      <c r="A211" s="62" t="s">
        <v>237</v>
      </c>
      <c r="B211" s="62" t="s">
        <v>239</v>
      </c>
      <c r="C211" s="63" t="s">
        <v>3599</v>
      </c>
      <c r="D211" s="64">
        <v>6.315789473684211</v>
      </c>
      <c r="E211" s="65" t="s">
        <v>136</v>
      </c>
      <c r="F211" s="66">
        <v>29.547169811320757</v>
      </c>
      <c r="G211" s="63"/>
      <c r="H211" s="67"/>
      <c r="I211" s="68"/>
      <c r="J211" s="68"/>
      <c r="K211" s="31" t="s">
        <v>65</v>
      </c>
      <c r="L211" s="76">
        <v>211</v>
      </c>
      <c r="M211" s="76"/>
      <c r="N211" s="70"/>
      <c r="O211" s="78" t="s">
        <v>305</v>
      </c>
      <c r="P211" s="78" t="s">
        <v>373</v>
      </c>
      <c r="Q211" s="78" t="s">
        <v>767</v>
      </c>
      <c r="R211" s="78" t="s">
        <v>1325</v>
      </c>
      <c r="S211" s="78"/>
      <c r="T211" s="78"/>
      <c r="U211" s="78"/>
      <c r="V211" s="78"/>
      <c r="W211" s="81" t="s">
        <v>1674</v>
      </c>
      <c r="X211" s="81" t="s">
        <v>1674</v>
      </c>
      <c r="Y211" s="78"/>
      <c r="Z211" s="78"/>
      <c r="AA211" s="81" t="s">
        <v>1674</v>
      </c>
      <c r="AB211" s="79">
        <v>6</v>
      </c>
      <c r="AC211" s="80" t="str">
        <f>REPLACE(INDEX(GroupVertices[Group],MATCH("~"&amp;Edges[[#This Row],[Vertex 1]],GroupVertices[Vertex],0)),1,1,"")</f>
        <v>5</v>
      </c>
      <c r="AD211" s="80" t="str">
        <f>REPLACE(INDEX(GroupVertices[Group],MATCH("~"&amp;Edges[[#This Row],[Vertex 2]],GroupVertices[Vertex],0)),1,1,"")</f>
        <v>5</v>
      </c>
      <c r="AE211" s="105"/>
      <c r="AF211" s="105"/>
      <c r="AG211" s="105"/>
      <c r="AH211" s="105"/>
      <c r="AI211" s="105"/>
      <c r="AJ211" s="105"/>
      <c r="AK211" s="105"/>
      <c r="AL211" s="105"/>
      <c r="AM211" s="105"/>
    </row>
    <row r="212" spans="1:39" ht="15">
      <c r="A212" s="62" t="s">
        <v>237</v>
      </c>
      <c r="B212" s="62" t="s">
        <v>239</v>
      </c>
      <c r="C212" s="63" t="s">
        <v>3599</v>
      </c>
      <c r="D212" s="64">
        <v>6.315789473684211</v>
      </c>
      <c r="E212" s="65" t="s">
        <v>136</v>
      </c>
      <c r="F212" s="66">
        <v>29.547169811320757</v>
      </c>
      <c r="G212" s="63"/>
      <c r="H212" s="67"/>
      <c r="I212" s="68"/>
      <c r="J212" s="68"/>
      <c r="K212" s="31" t="s">
        <v>65</v>
      </c>
      <c r="L212" s="76">
        <v>212</v>
      </c>
      <c r="M212" s="76"/>
      <c r="N212" s="70"/>
      <c r="O212" s="78" t="s">
        <v>305</v>
      </c>
      <c r="P212" s="78" t="s">
        <v>373</v>
      </c>
      <c r="Q212" s="78" t="s">
        <v>768</v>
      </c>
      <c r="R212" s="78" t="s">
        <v>1324</v>
      </c>
      <c r="S212" s="78"/>
      <c r="T212" s="78"/>
      <c r="U212" s="78"/>
      <c r="V212" s="78"/>
      <c r="W212" s="81" t="s">
        <v>1674</v>
      </c>
      <c r="X212" s="81" t="s">
        <v>1674</v>
      </c>
      <c r="Y212" s="78"/>
      <c r="Z212" s="78"/>
      <c r="AA212" s="81" t="s">
        <v>1674</v>
      </c>
      <c r="AB212" s="79">
        <v>6</v>
      </c>
      <c r="AC212" s="80" t="str">
        <f>REPLACE(INDEX(GroupVertices[Group],MATCH("~"&amp;Edges[[#This Row],[Vertex 1]],GroupVertices[Vertex],0)),1,1,"")</f>
        <v>5</v>
      </c>
      <c r="AD212" s="80" t="str">
        <f>REPLACE(INDEX(GroupVertices[Group],MATCH("~"&amp;Edges[[#This Row],[Vertex 2]],GroupVertices[Vertex],0)),1,1,"")</f>
        <v>5</v>
      </c>
      <c r="AE212" s="105"/>
      <c r="AF212" s="105"/>
      <c r="AG212" s="105"/>
      <c r="AH212" s="105"/>
      <c r="AI212" s="105"/>
      <c r="AJ212" s="105"/>
      <c r="AK212" s="105"/>
      <c r="AL212" s="105"/>
      <c r="AM212" s="105"/>
    </row>
    <row r="213" spans="1:39" ht="15">
      <c r="A213" s="62" t="s">
        <v>237</v>
      </c>
      <c r="B213" s="62" t="s">
        <v>239</v>
      </c>
      <c r="C213" s="63" t="s">
        <v>3599</v>
      </c>
      <c r="D213" s="64">
        <v>6.315789473684211</v>
      </c>
      <c r="E213" s="65" t="s">
        <v>136</v>
      </c>
      <c r="F213" s="66">
        <v>29.547169811320757</v>
      </c>
      <c r="G213" s="63"/>
      <c r="H213" s="67"/>
      <c r="I213" s="68"/>
      <c r="J213" s="68"/>
      <c r="K213" s="31" t="s">
        <v>65</v>
      </c>
      <c r="L213" s="76">
        <v>213</v>
      </c>
      <c r="M213" s="76"/>
      <c r="N213" s="70"/>
      <c r="O213" s="78" t="s">
        <v>305</v>
      </c>
      <c r="P213" s="78" t="s">
        <v>373</v>
      </c>
      <c r="Q213" s="78" t="s">
        <v>768</v>
      </c>
      <c r="R213" s="78" t="s">
        <v>1325</v>
      </c>
      <c r="S213" s="78"/>
      <c r="T213" s="78"/>
      <c r="U213" s="78"/>
      <c r="V213" s="78"/>
      <c r="W213" s="81" t="s">
        <v>1674</v>
      </c>
      <c r="X213" s="81" t="s">
        <v>1674</v>
      </c>
      <c r="Y213" s="78"/>
      <c r="Z213" s="78"/>
      <c r="AA213" s="81" t="s">
        <v>1674</v>
      </c>
      <c r="AB213" s="79">
        <v>6</v>
      </c>
      <c r="AC213" s="80" t="str">
        <f>REPLACE(INDEX(GroupVertices[Group],MATCH("~"&amp;Edges[[#This Row],[Vertex 1]],GroupVertices[Vertex],0)),1,1,"")</f>
        <v>5</v>
      </c>
      <c r="AD213" s="80" t="str">
        <f>REPLACE(INDEX(GroupVertices[Group],MATCH("~"&amp;Edges[[#This Row],[Vertex 2]],GroupVertices[Vertex],0)),1,1,"")</f>
        <v>5</v>
      </c>
      <c r="AE213" s="105"/>
      <c r="AF213" s="105"/>
      <c r="AG213" s="105"/>
      <c r="AH213" s="105"/>
      <c r="AI213" s="105"/>
      <c r="AJ213" s="105"/>
      <c r="AK213" s="105"/>
      <c r="AL213" s="105"/>
      <c r="AM213" s="105"/>
    </row>
    <row r="214" spans="1:39" ht="15">
      <c r="A214" s="62" t="s">
        <v>237</v>
      </c>
      <c r="B214" s="62" t="s">
        <v>242</v>
      </c>
      <c r="C214" s="63" t="s">
        <v>3599</v>
      </c>
      <c r="D214" s="64">
        <v>6.052631578947368</v>
      </c>
      <c r="E214" s="65" t="s">
        <v>136</v>
      </c>
      <c r="F214" s="66">
        <v>30.037735849056602</v>
      </c>
      <c r="G214" s="63"/>
      <c r="H214" s="67"/>
      <c r="I214" s="68"/>
      <c r="J214" s="68"/>
      <c r="K214" s="31" t="s">
        <v>65</v>
      </c>
      <c r="L214" s="76">
        <v>214</v>
      </c>
      <c r="M214" s="76"/>
      <c r="N214" s="70"/>
      <c r="O214" s="78" t="s">
        <v>305</v>
      </c>
      <c r="P214" s="78" t="s">
        <v>373</v>
      </c>
      <c r="Q214" s="78" t="s">
        <v>766</v>
      </c>
      <c r="R214" s="78" t="s">
        <v>794</v>
      </c>
      <c r="S214" s="78"/>
      <c r="T214" s="78"/>
      <c r="U214" s="78"/>
      <c r="V214" s="78"/>
      <c r="W214" s="81" t="s">
        <v>1674</v>
      </c>
      <c r="X214" s="81" t="s">
        <v>1674</v>
      </c>
      <c r="Y214" s="78"/>
      <c r="Z214" s="78"/>
      <c r="AA214" s="81" t="s">
        <v>1674</v>
      </c>
      <c r="AB214" s="79">
        <v>5</v>
      </c>
      <c r="AC214" s="80" t="str">
        <f>REPLACE(INDEX(GroupVertices[Group],MATCH("~"&amp;Edges[[#This Row],[Vertex 1]],GroupVertices[Vertex],0)),1,1,"")</f>
        <v>5</v>
      </c>
      <c r="AD214" s="80" t="str">
        <f>REPLACE(INDEX(GroupVertices[Group],MATCH("~"&amp;Edges[[#This Row],[Vertex 2]],GroupVertices[Vertex],0)),1,1,"")</f>
        <v>5</v>
      </c>
      <c r="AE214" s="105"/>
      <c r="AF214" s="105"/>
      <c r="AG214" s="105"/>
      <c r="AH214" s="105"/>
      <c r="AI214" s="105"/>
      <c r="AJ214" s="105"/>
      <c r="AK214" s="105"/>
      <c r="AL214" s="105"/>
      <c r="AM214" s="105"/>
    </row>
    <row r="215" spans="1:39" ht="15">
      <c r="A215" s="62" t="s">
        <v>237</v>
      </c>
      <c r="B215" s="62" t="s">
        <v>242</v>
      </c>
      <c r="C215" s="63" t="s">
        <v>3599</v>
      </c>
      <c r="D215" s="64">
        <v>6.052631578947368</v>
      </c>
      <c r="E215" s="65" t="s">
        <v>136</v>
      </c>
      <c r="F215" s="66">
        <v>30.037735849056602</v>
      </c>
      <c r="G215" s="63"/>
      <c r="H215" s="67"/>
      <c r="I215" s="68"/>
      <c r="J215" s="68"/>
      <c r="K215" s="31" t="s">
        <v>65</v>
      </c>
      <c r="L215" s="76">
        <v>215</v>
      </c>
      <c r="M215" s="76"/>
      <c r="N215" s="70"/>
      <c r="O215" s="78" t="s">
        <v>305</v>
      </c>
      <c r="P215" s="78" t="s">
        <v>374</v>
      </c>
      <c r="Q215" s="78" t="s">
        <v>769</v>
      </c>
      <c r="R215" s="78" t="s">
        <v>1326</v>
      </c>
      <c r="S215" s="78"/>
      <c r="T215" s="78"/>
      <c r="U215" s="78"/>
      <c r="V215" s="78"/>
      <c r="W215" s="81" t="s">
        <v>1674</v>
      </c>
      <c r="X215" s="81" t="s">
        <v>1674</v>
      </c>
      <c r="Y215" s="78"/>
      <c r="Z215" s="78"/>
      <c r="AA215" s="81" t="s">
        <v>1674</v>
      </c>
      <c r="AB215" s="79">
        <v>5</v>
      </c>
      <c r="AC215" s="80" t="str">
        <f>REPLACE(INDEX(GroupVertices[Group],MATCH("~"&amp;Edges[[#This Row],[Vertex 1]],GroupVertices[Vertex],0)),1,1,"")</f>
        <v>5</v>
      </c>
      <c r="AD215" s="80" t="str">
        <f>REPLACE(INDEX(GroupVertices[Group],MATCH("~"&amp;Edges[[#This Row],[Vertex 2]],GroupVertices[Vertex],0)),1,1,"")</f>
        <v>5</v>
      </c>
      <c r="AE215" s="105"/>
      <c r="AF215" s="105"/>
      <c r="AG215" s="105"/>
      <c r="AH215" s="105"/>
      <c r="AI215" s="105"/>
      <c r="AJ215" s="105"/>
      <c r="AK215" s="105"/>
      <c r="AL215" s="105"/>
      <c r="AM215" s="105"/>
    </row>
    <row r="216" spans="1:39" ht="15">
      <c r="A216" s="62" t="s">
        <v>237</v>
      </c>
      <c r="B216" s="62" t="s">
        <v>242</v>
      </c>
      <c r="C216" s="63" t="s">
        <v>3599</v>
      </c>
      <c r="D216" s="64">
        <v>6.052631578947368</v>
      </c>
      <c r="E216" s="65" t="s">
        <v>136</v>
      </c>
      <c r="F216" s="66">
        <v>30.037735849056602</v>
      </c>
      <c r="G216" s="63"/>
      <c r="H216" s="67"/>
      <c r="I216" s="68"/>
      <c r="J216" s="68"/>
      <c r="K216" s="31" t="s">
        <v>65</v>
      </c>
      <c r="L216" s="76">
        <v>216</v>
      </c>
      <c r="M216" s="76"/>
      <c r="N216" s="70"/>
      <c r="O216" s="78" t="s">
        <v>305</v>
      </c>
      <c r="P216" s="78" t="s">
        <v>373</v>
      </c>
      <c r="Q216" s="78" t="s">
        <v>767</v>
      </c>
      <c r="R216" s="78" t="s">
        <v>794</v>
      </c>
      <c r="S216" s="78"/>
      <c r="T216" s="78"/>
      <c r="U216" s="78"/>
      <c r="V216" s="78"/>
      <c r="W216" s="81" t="s">
        <v>1674</v>
      </c>
      <c r="X216" s="81" t="s">
        <v>1674</v>
      </c>
      <c r="Y216" s="78"/>
      <c r="Z216" s="78"/>
      <c r="AA216" s="81" t="s">
        <v>1674</v>
      </c>
      <c r="AB216" s="79">
        <v>5</v>
      </c>
      <c r="AC216" s="80" t="str">
        <f>REPLACE(INDEX(GroupVertices[Group],MATCH("~"&amp;Edges[[#This Row],[Vertex 1]],GroupVertices[Vertex],0)),1,1,"")</f>
        <v>5</v>
      </c>
      <c r="AD216" s="80" t="str">
        <f>REPLACE(INDEX(GroupVertices[Group],MATCH("~"&amp;Edges[[#This Row],[Vertex 2]],GroupVertices[Vertex],0)),1,1,"")</f>
        <v>5</v>
      </c>
      <c r="AE216" s="105"/>
      <c r="AF216" s="105"/>
      <c r="AG216" s="105"/>
      <c r="AH216" s="105"/>
      <c r="AI216" s="105"/>
      <c r="AJ216" s="105"/>
      <c r="AK216" s="105"/>
      <c r="AL216" s="105"/>
      <c r="AM216" s="105"/>
    </row>
    <row r="217" spans="1:39" ht="15">
      <c r="A217" s="62" t="s">
        <v>237</v>
      </c>
      <c r="B217" s="62" t="s">
        <v>242</v>
      </c>
      <c r="C217" s="63" t="s">
        <v>3599</v>
      </c>
      <c r="D217" s="64">
        <v>6.052631578947368</v>
      </c>
      <c r="E217" s="65" t="s">
        <v>136</v>
      </c>
      <c r="F217" s="66">
        <v>30.037735849056602</v>
      </c>
      <c r="G217" s="63"/>
      <c r="H217" s="67"/>
      <c r="I217" s="68"/>
      <c r="J217" s="68"/>
      <c r="K217" s="31" t="s">
        <v>65</v>
      </c>
      <c r="L217" s="76">
        <v>217</v>
      </c>
      <c r="M217" s="76"/>
      <c r="N217" s="70"/>
      <c r="O217" s="78" t="s">
        <v>305</v>
      </c>
      <c r="P217" s="78" t="s">
        <v>373</v>
      </c>
      <c r="Q217" s="78" t="s">
        <v>768</v>
      </c>
      <c r="R217" s="78" t="s">
        <v>794</v>
      </c>
      <c r="S217" s="78"/>
      <c r="T217" s="78"/>
      <c r="U217" s="78"/>
      <c r="V217" s="78"/>
      <c r="W217" s="81" t="s">
        <v>1674</v>
      </c>
      <c r="X217" s="81" t="s">
        <v>1674</v>
      </c>
      <c r="Y217" s="78"/>
      <c r="Z217" s="78"/>
      <c r="AA217" s="81" t="s">
        <v>1674</v>
      </c>
      <c r="AB217" s="79">
        <v>5</v>
      </c>
      <c r="AC217" s="80" t="str">
        <f>REPLACE(INDEX(GroupVertices[Group],MATCH("~"&amp;Edges[[#This Row],[Vertex 1]],GroupVertices[Vertex],0)),1,1,"")</f>
        <v>5</v>
      </c>
      <c r="AD217" s="80" t="str">
        <f>REPLACE(INDEX(GroupVertices[Group],MATCH("~"&amp;Edges[[#This Row],[Vertex 2]],GroupVertices[Vertex],0)),1,1,"")</f>
        <v>5</v>
      </c>
      <c r="AE217" s="105"/>
      <c r="AF217" s="105"/>
      <c r="AG217" s="105"/>
      <c r="AH217" s="105"/>
      <c r="AI217" s="105"/>
      <c r="AJ217" s="105"/>
      <c r="AK217" s="105"/>
      <c r="AL217" s="105"/>
      <c r="AM217" s="105"/>
    </row>
    <row r="218" spans="1:39" ht="15">
      <c r="A218" s="62" t="s">
        <v>237</v>
      </c>
      <c r="B218" s="62" t="s">
        <v>242</v>
      </c>
      <c r="C218" s="63" t="s">
        <v>3599</v>
      </c>
      <c r="D218" s="64">
        <v>6.052631578947368</v>
      </c>
      <c r="E218" s="65" t="s">
        <v>136</v>
      </c>
      <c r="F218" s="66">
        <v>30.037735849056602</v>
      </c>
      <c r="G218" s="63"/>
      <c r="H218" s="67"/>
      <c r="I218" s="68"/>
      <c r="J218" s="68"/>
      <c r="K218" s="31" t="s">
        <v>65</v>
      </c>
      <c r="L218" s="76">
        <v>218</v>
      </c>
      <c r="M218" s="76"/>
      <c r="N218" s="70"/>
      <c r="O218" s="78" t="s">
        <v>305</v>
      </c>
      <c r="P218" s="78" t="s">
        <v>375</v>
      </c>
      <c r="Q218" s="78" t="s">
        <v>770</v>
      </c>
      <c r="R218" s="78" t="s">
        <v>1327</v>
      </c>
      <c r="S218" s="78"/>
      <c r="T218" s="78"/>
      <c r="U218" s="78"/>
      <c r="V218" s="78"/>
      <c r="W218" s="81" t="s">
        <v>1674</v>
      </c>
      <c r="X218" s="81" t="s">
        <v>1674</v>
      </c>
      <c r="Y218" s="78"/>
      <c r="Z218" s="78"/>
      <c r="AA218" s="81" t="s">
        <v>1674</v>
      </c>
      <c r="AB218" s="79">
        <v>5</v>
      </c>
      <c r="AC218" s="80" t="str">
        <f>REPLACE(INDEX(GroupVertices[Group],MATCH("~"&amp;Edges[[#This Row],[Vertex 1]],GroupVertices[Vertex],0)),1,1,"")</f>
        <v>5</v>
      </c>
      <c r="AD218" s="80" t="str">
        <f>REPLACE(INDEX(GroupVertices[Group],MATCH("~"&amp;Edges[[#This Row],[Vertex 2]],GroupVertices[Vertex],0)),1,1,"")</f>
        <v>5</v>
      </c>
      <c r="AE218" s="105"/>
      <c r="AF218" s="105"/>
      <c r="AG218" s="105"/>
      <c r="AH218" s="105"/>
      <c r="AI218" s="105"/>
      <c r="AJ218" s="105"/>
      <c r="AK218" s="105"/>
      <c r="AL218" s="105"/>
      <c r="AM218" s="105"/>
    </row>
    <row r="219" spans="1:39" ht="15">
      <c r="A219" s="62" t="s">
        <v>237</v>
      </c>
      <c r="B219" s="62" t="s">
        <v>270</v>
      </c>
      <c r="C219" s="63" t="s">
        <v>3598</v>
      </c>
      <c r="D219" s="64">
        <v>5</v>
      </c>
      <c r="E219" s="65" t="s">
        <v>132</v>
      </c>
      <c r="F219" s="66">
        <v>32</v>
      </c>
      <c r="G219" s="63"/>
      <c r="H219" s="67"/>
      <c r="I219" s="68"/>
      <c r="J219" s="68"/>
      <c r="K219" s="31" t="s">
        <v>65</v>
      </c>
      <c r="L219" s="76">
        <v>219</v>
      </c>
      <c r="M219" s="76"/>
      <c r="N219" s="70"/>
      <c r="O219" s="78" t="s">
        <v>305</v>
      </c>
      <c r="P219" s="78" t="s">
        <v>371</v>
      </c>
      <c r="Q219" s="78" t="s">
        <v>764</v>
      </c>
      <c r="R219" s="78" t="s">
        <v>817</v>
      </c>
      <c r="S219" s="78"/>
      <c r="T219" s="78"/>
      <c r="U219" s="78"/>
      <c r="V219" s="78"/>
      <c r="W219" s="81" t="s">
        <v>1674</v>
      </c>
      <c r="X219" s="81" t="s">
        <v>1674</v>
      </c>
      <c r="Y219" s="78"/>
      <c r="Z219" s="78"/>
      <c r="AA219" s="81" t="s">
        <v>1674</v>
      </c>
      <c r="AB219" s="79">
        <v>1</v>
      </c>
      <c r="AC219" s="80" t="str">
        <f>REPLACE(INDEX(GroupVertices[Group],MATCH("~"&amp;Edges[[#This Row],[Vertex 1]],GroupVertices[Vertex],0)),1,1,"")</f>
        <v>5</v>
      </c>
      <c r="AD219" s="80" t="str">
        <f>REPLACE(INDEX(GroupVertices[Group],MATCH("~"&amp;Edges[[#This Row],[Vertex 2]],GroupVertices[Vertex],0)),1,1,"")</f>
        <v>2</v>
      </c>
      <c r="AE219" s="105"/>
      <c r="AF219" s="105"/>
      <c r="AG219" s="105"/>
      <c r="AH219" s="105"/>
      <c r="AI219" s="105"/>
      <c r="AJ219" s="105"/>
      <c r="AK219" s="105"/>
      <c r="AL219" s="105"/>
      <c r="AM219" s="105"/>
    </row>
    <row r="220" spans="1:39" ht="15">
      <c r="A220" s="62" t="s">
        <v>237</v>
      </c>
      <c r="B220" s="62" t="s">
        <v>243</v>
      </c>
      <c r="C220" s="63" t="s">
        <v>3598</v>
      </c>
      <c r="D220" s="64">
        <v>5</v>
      </c>
      <c r="E220" s="65" t="s">
        <v>132</v>
      </c>
      <c r="F220" s="66">
        <v>32</v>
      </c>
      <c r="G220" s="63"/>
      <c r="H220" s="67"/>
      <c r="I220" s="68"/>
      <c r="J220" s="68"/>
      <c r="K220" s="31" t="s">
        <v>65</v>
      </c>
      <c r="L220" s="76">
        <v>220</v>
      </c>
      <c r="M220" s="76"/>
      <c r="N220" s="70"/>
      <c r="O220" s="78" t="s">
        <v>305</v>
      </c>
      <c r="P220" s="78" t="s">
        <v>376</v>
      </c>
      <c r="Q220" s="78" t="s">
        <v>771</v>
      </c>
      <c r="R220" s="78" t="s">
        <v>1328</v>
      </c>
      <c r="S220" s="78"/>
      <c r="T220" s="78"/>
      <c r="U220" s="78"/>
      <c r="V220" s="78"/>
      <c r="W220" s="81" t="s">
        <v>1674</v>
      </c>
      <c r="X220" s="81" t="s">
        <v>1674</v>
      </c>
      <c r="Y220" s="78"/>
      <c r="Z220" s="78"/>
      <c r="AA220" s="81" t="s">
        <v>1674</v>
      </c>
      <c r="AB220" s="79">
        <v>1</v>
      </c>
      <c r="AC220" s="80" t="str">
        <f>REPLACE(INDEX(GroupVertices[Group],MATCH("~"&amp;Edges[[#This Row],[Vertex 1]],GroupVertices[Vertex],0)),1,1,"")</f>
        <v>5</v>
      </c>
      <c r="AD220" s="80" t="str">
        <f>REPLACE(INDEX(GroupVertices[Group],MATCH("~"&amp;Edges[[#This Row],[Vertex 2]],GroupVertices[Vertex],0)),1,1,"")</f>
        <v>5</v>
      </c>
      <c r="AE220" s="105"/>
      <c r="AF220" s="105"/>
      <c r="AG220" s="105"/>
      <c r="AH220" s="105"/>
      <c r="AI220" s="105"/>
      <c r="AJ220" s="105"/>
      <c r="AK220" s="105"/>
      <c r="AL220" s="105"/>
      <c r="AM220" s="105"/>
    </row>
    <row r="221" spans="1:39" ht="15">
      <c r="A221" s="62" t="s">
        <v>237</v>
      </c>
      <c r="B221" s="62" t="s">
        <v>244</v>
      </c>
      <c r="C221" s="63" t="s">
        <v>3598</v>
      </c>
      <c r="D221" s="64">
        <v>5.2631578947368425</v>
      </c>
      <c r="E221" s="65" t="s">
        <v>136</v>
      </c>
      <c r="F221" s="66">
        <v>31.50943396226415</v>
      </c>
      <c r="G221" s="63"/>
      <c r="H221" s="67"/>
      <c r="I221" s="68"/>
      <c r="J221" s="68"/>
      <c r="K221" s="31" t="s">
        <v>65</v>
      </c>
      <c r="L221" s="76">
        <v>221</v>
      </c>
      <c r="M221" s="76"/>
      <c r="N221" s="70"/>
      <c r="O221" s="78" t="s">
        <v>305</v>
      </c>
      <c r="P221" s="78" t="s">
        <v>377</v>
      </c>
      <c r="Q221" s="78" t="s">
        <v>772</v>
      </c>
      <c r="R221" s="78" t="s">
        <v>1329</v>
      </c>
      <c r="S221" s="78"/>
      <c r="T221" s="78" t="s">
        <v>1661</v>
      </c>
      <c r="U221" s="78"/>
      <c r="V221" s="78" t="s">
        <v>1670</v>
      </c>
      <c r="W221" s="81" t="s">
        <v>1674</v>
      </c>
      <c r="X221" s="81" t="s">
        <v>1674</v>
      </c>
      <c r="Y221" s="78" t="s">
        <v>1680</v>
      </c>
      <c r="Z221" s="78" t="s">
        <v>1710</v>
      </c>
      <c r="AA221" s="81" t="s">
        <v>1674</v>
      </c>
      <c r="AB221" s="79">
        <v>2</v>
      </c>
      <c r="AC221" s="80" t="str">
        <f>REPLACE(INDEX(GroupVertices[Group],MATCH("~"&amp;Edges[[#This Row],[Vertex 1]],GroupVertices[Vertex],0)),1,1,"")</f>
        <v>5</v>
      </c>
      <c r="AD221" s="80" t="str">
        <f>REPLACE(INDEX(GroupVertices[Group],MATCH("~"&amp;Edges[[#This Row],[Vertex 2]],GroupVertices[Vertex],0)),1,1,"")</f>
        <v>5</v>
      </c>
      <c r="AE221" s="105"/>
      <c r="AF221" s="105"/>
      <c r="AG221" s="105"/>
      <c r="AH221" s="105"/>
      <c r="AI221" s="105"/>
      <c r="AJ221" s="105"/>
      <c r="AK221" s="105"/>
      <c r="AL221" s="105"/>
      <c r="AM221" s="105"/>
    </row>
    <row r="222" spans="1:39" ht="15">
      <c r="A222" s="62" t="s">
        <v>237</v>
      </c>
      <c r="B222" s="62" t="s">
        <v>244</v>
      </c>
      <c r="C222" s="63" t="s">
        <v>3598</v>
      </c>
      <c r="D222" s="64">
        <v>5.2631578947368425</v>
      </c>
      <c r="E222" s="65" t="s">
        <v>136</v>
      </c>
      <c r="F222" s="66">
        <v>31.50943396226415</v>
      </c>
      <c r="G222" s="63"/>
      <c r="H222" s="67"/>
      <c r="I222" s="68"/>
      <c r="J222" s="68"/>
      <c r="K222" s="31" t="s">
        <v>65</v>
      </c>
      <c r="L222" s="76">
        <v>222</v>
      </c>
      <c r="M222" s="76"/>
      <c r="N222" s="70"/>
      <c r="O222" s="78" t="s">
        <v>305</v>
      </c>
      <c r="P222" s="78" t="s">
        <v>377</v>
      </c>
      <c r="Q222" s="78" t="s">
        <v>772</v>
      </c>
      <c r="R222" s="78" t="s">
        <v>1330</v>
      </c>
      <c r="S222" s="78"/>
      <c r="T222" s="78"/>
      <c r="U222" s="78"/>
      <c r="V222" s="78"/>
      <c r="W222" s="81" t="s">
        <v>1674</v>
      </c>
      <c r="X222" s="81" t="s">
        <v>1674</v>
      </c>
      <c r="Y222" s="78"/>
      <c r="Z222" s="78"/>
      <c r="AA222" s="81" t="s">
        <v>1674</v>
      </c>
      <c r="AB222" s="79">
        <v>2</v>
      </c>
      <c r="AC222" s="80" t="str">
        <f>REPLACE(INDEX(GroupVertices[Group],MATCH("~"&amp;Edges[[#This Row],[Vertex 1]],GroupVertices[Vertex],0)),1,1,"")</f>
        <v>5</v>
      </c>
      <c r="AD222" s="80" t="str">
        <f>REPLACE(INDEX(GroupVertices[Group],MATCH("~"&amp;Edges[[#This Row],[Vertex 2]],GroupVertices[Vertex],0)),1,1,"")</f>
        <v>5</v>
      </c>
      <c r="AE222" s="105"/>
      <c r="AF222" s="105"/>
      <c r="AG222" s="105"/>
      <c r="AH222" s="105"/>
      <c r="AI222" s="105"/>
      <c r="AJ222" s="105"/>
      <c r="AK222" s="105"/>
      <c r="AL222" s="105"/>
      <c r="AM222" s="105"/>
    </row>
    <row r="223" spans="1:39" ht="15">
      <c r="A223" s="62" t="s">
        <v>237</v>
      </c>
      <c r="B223" s="62" t="s">
        <v>245</v>
      </c>
      <c r="C223" s="63" t="s">
        <v>3598</v>
      </c>
      <c r="D223" s="64">
        <v>5.2631578947368425</v>
      </c>
      <c r="E223" s="65" t="s">
        <v>136</v>
      </c>
      <c r="F223" s="66">
        <v>31.50943396226415</v>
      </c>
      <c r="G223" s="63"/>
      <c r="H223" s="67"/>
      <c r="I223" s="68"/>
      <c r="J223" s="68"/>
      <c r="K223" s="31" t="s">
        <v>65</v>
      </c>
      <c r="L223" s="76">
        <v>223</v>
      </c>
      <c r="M223" s="76"/>
      <c r="N223" s="70"/>
      <c r="O223" s="78" t="s">
        <v>305</v>
      </c>
      <c r="P223" s="78" t="s">
        <v>378</v>
      </c>
      <c r="Q223" s="78" t="s">
        <v>773</v>
      </c>
      <c r="R223" s="78" t="s">
        <v>1331</v>
      </c>
      <c r="S223" s="78"/>
      <c r="T223" s="78"/>
      <c r="U223" s="78"/>
      <c r="V223" s="78"/>
      <c r="W223" s="81" t="s">
        <v>1674</v>
      </c>
      <c r="X223" s="81" t="s">
        <v>1674</v>
      </c>
      <c r="Y223" s="78"/>
      <c r="Z223" s="78"/>
      <c r="AA223" s="81" t="s">
        <v>1674</v>
      </c>
      <c r="AB223" s="79">
        <v>2</v>
      </c>
      <c r="AC223" s="80" t="str">
        <f>REPLACE(INDEX(GroupVertices[Group],MATCH("~"&amp;Edges[[#This Row],[Vertex 1]],GroupVertices[Vertex],0)),1,1,"")</f>
        <v>5</v>
      </c>
      <c r="AD223" s="80" t="str">
        <f>REPLACE(INDEX(GroupVertices[Group],MATCH("~"&amp;Edges[[#This Row],[Vertex 2]],GroupVertices[Vertex],0)),1,1,"")</f>
        <v>1</v>
      </c>
      <c r="AE223" s="105"/>
      <c r="AF223" s="105"/>
      <c r="AG223" s="105"/>
      <c r="AH223" s="105"/>
      <c r="AI223" s="105"/>
      <c r="AJ223" s="105"/>
      <c r="AK223" s="105"/>
      <c r="AL223" s="105"/>
      <c r="AM223" s="105"/>
    </row>
    <row r="224" spans="1:39" ht="15">
      <c r="A224" s="62" t="s">
        <v>237</v>
      </c>
      <c r="B224" s="62" t="s">
        <v>245</v>
      </c>
      <c r="C224" s="63" t="s">
        <v>3598</v>
      </c>
      <c r="D224" s="64">
        <v>5.2631578947368425</v>
      </c>
      <c r="E224" s="65" t="s">
        <v>136</v>
      </c>
      <c r="F224" s="66">
        <v>31.50943396226415</v>
      </c>
      <c r="G224" s="63"/>
      <c r="H224" s="67"/>
      <c r="I224" s="68"/>
      <c r="J224" s="68"/>
      <c r="K224" s="31" t="s">
        <v>65</v>
      </c>
      <c r="L224" s="76">
        <v>224</v>
      </c>
      <c r="M224" s="76"/>
      <c r="N224" s="70"/>
      <c r="O224" s="78" t="s">
        <v>305</v>
      </c>
      <c r="P224" s="78" t="s">
        <v>379</v>
      </c>
      <c r="Q224" s="78" t="s">
        <v>774</v>
      </c>
      <c r="R224" s="78" t="s">
        <v>1332</v>
      </c>
      <c r="S224" s="78"/>
      <c r="T224" s="78"/>
      <c r="U224" s="78"/>
      <c r="V224" s="78"/>
      <c r="W224" s="81" t="s">
        <v>1674</v>
      </c>
      <c r="X224" s="81" t="s">
        <v>1674</v>
      </c>
      <c r="Y224" s="78"/>
      <c r="Z224" s="78"/>
      <c r="AA224" s="81" t="s">
        <v>1674</v>
      </c>
      <c r="AB224" s="79">
        <v>2</v>
      </c>
      <c r="AC224" s="80" t="str">
        <f>REPLACE(INDEX(GroupVertices[Group],MATCH("~"&amp;Edges[[#This Row],[Vertex 1]],GroupVertices[Vertex],0)),1,1,"")</f>
        <v>5</v>
      </c>
      <c r="AD224" s="80" t="str">
        <f>REPLACE(INDEX(GroupVertices[Group],MATCH("~"&amp;Edges[[#This Row],[Vertex 2]],GroupVertices[Vertex],0)),1,1,"")</f>
        <v>1</v>
      </c>
      <c r="AE224" s="105"/>
      <c r="AF224" s="105"/>
      <c r="AG224" s="105"/>
      <c r="AH224" s="105"/>
      <c r="AI224" s="105"/>
      <c r="AJ224" s="105"/>
      <c r="AK224" s="105"/>
      <c r="AL224" s="105"/>
      <c r="AM224" s="105"/>
    </row>
    <row r="225" spans="1:39" ht="15">
      <c r="A225" s="62" t="s">
        <v>237</v>
      </c>
      <c r="B225" s="62" t="s">
        <v>254</v>
      </c>
      <c r="C225" s="63" t="s">
        <v>3600</v>
      </c>
      <c r="D225" s="64">
        <v>7.894736842105264</v>
      </c>
      <c r="E225" s="65" t="s">
        <v>136</v>
      </c>
      <c r="F225" s="66">
        <v>26.60377358490566</v>
      </c>
      <c r="G225" s="63"/>
      <c r="H225" s="67"/>
      <c r="I225" s="68"/>
      <c r="J225" s="68"/>
      <c r="K225" s="31" t="s">
        <v>65</v>
      </c>
      <c r="L225" s="76">
        <v>225</v>
      </c>
      <c r="M225" s="76"/>
      <c r="N225" s="70"/>
      <c r="O225" s="78" t="s">
        <v>305</v>
      </c>
      <c r="P225" s="78" t="s">
        <v>370</v>
      </c>
      <c r="Q225" s="78" t="s">
        <v>761</v>
      </c>
      <c r="R225" s="78" t="s">
        <v>930</v>
      </c>
      <c r="S225" s="78"/>
      <c r="T225" s="78"/>
      <c r="U225" s="78"/>
      <c r="V225" s="78"/>
      <c r="W225" s="81" t="s">
        <v>1674</v>
      </c>
      <c r="X225" s="81" t="s">
        <v>1674</v>
      </c>
      <c r="Y225" s="78"/>
      <c r="Z225" s="78"/>
      <c r="AA225" s="81" t="s">
        <v>1674</v>
      </c>
      <c r="AB225" s="79">
        <v>12</v>
      </c>
      <c r="AC225" s="80" t="str">
        <f>REPLACE(INDEX(GroupVertices[Group],MATCH("~"&amp;Edges[[#This Row],[Vertex 1]],GroupVertices[Vertex],0)),1,1,"")</f>
        <v>5</v>
      </c>
      <c r="AD225" s="80" t="str">
        <f>REPLACE(INDEX(GroupVertices[Group],MATCH("~"&amp;Edges[[#This Row],[Vertex 2]],GroupVertices[Vertex],0)),1,1,"")</f>
        <v>2</v>
      </c>
      <c r="AE225" s="105"/>
      <c r="AF225" s="105"/>
      <c r="AG225" s="105"/>
      <c r="AH225" s="105"/>
      <c r="AI225" s="105"/>
      <c r="AJ225" s="105"/>
      <c r="AK225" s="105"/>
      <c r="AL225" s="105"/>
      <c r="AM225" s="105"/>
    </row>
    <row r="226" spans="1:39" ht="15">
      <c r="A226" s="62" t="s">
        <v>237</v>
      </c>
      <c r="B226" s="62" t="s">
        <v>254</v>
      </c>
      <c r="C226" s="63" t="s">
        <v>3600</v>
      </c>
      <c r="D226" s="64">
        <v>7.894736842105264</v>
      </c>
      <c r="E226" s="65" t="s">
        <v>136</v>
      </c>
      <c r="F226" s="66">
        <v>26.60377358490566</v>
      </c>
      <c r="G226" s="63"/>
      <c r="H226" s="67"/>
      <c r="I226" s="68"/>
      <c r="J226" s="68"/>
      <c r="K226" s="31" t="s">
        <v>65</v>
      </c>
      <c r="L226" s="76">
        <v>226</v>
      </c>
      <c r="M226" s="76"/>
      <c r="N226" s="70"/>
      <c r="O226" s="78" t="s">
        <v>305</v>
      </c>
      <c r="P226" s="78" t="s">
        <v>370</v>
      </c>
      <c r="Q226" s="78" t="s">
        <v>761</v>
      </c>
      <c r="R226" s="78" t="s">
        <v>933</v>
      </c>
      <c r="S226" s="78"/>
      <c r="T226" s="78"/>
      <c r="U226" s="78"/>
      <c r="V226" s="78"/>
      <c r="W226" s="81" t="s">
        <v>1674</v>
      </c>
      <c r="X226" s="81" t="s">
        <v>1674</v>
      </c>
      <c r="Y226" s="78"/>
      <c r="Z226" s="78"/>
      <c r="AA226" s="81" t="s">
        <v>1674</v>
      </c>
      <c r="AB226" s="79">
        <v>12</v>
      </c>
      <c r="AC226" s="80" t="str">
        <f>REPLACE(INDEX(GroupVertices[Group],MATCH("~"&amp;Edges[[#This Row],[Vertex 1]],GroupVertices[Vertex],0)),1,1,"")</f>
        <v>5</v>
      </c>
      <c r="AD226" s="80" t="str">
        <f>REPLACE(INDEX(GroupVertices[Group],MATCH("~"&amp;Edges[[#This Row],[Vertex 2]],GroupVertices[Vertex],0)),1,1,"")</f>
        <v>2</v>
      </c>
      <c r="AE226" s="105"/>
      <c r="AF226" s="105"/>
      <c r="AG226" s="105"/>
      <c r="AH226" s="105"/>
      <c r="AI226" s="105"/>
      <c r="AJ226" s="105"/>
      <c r="AK226" s="105"/>
      <c r="AL226" s="105"/>
      <c r="AM226" s="105"/>
    </row>
    <row r="227" spans="1:39" ht="15">
      <c r="A227" s="62" t="s">
        <v>237</v>
      </c>
      <c r="B227" s="62" t="s">
        <v>254</v>
      </c>
      <c r="C227" s="63" t="s">
        <v>3600</v>
      </c>
      <c r="D227" s="64">
        <v>7.894736842105264</v>
      </c>
      <c r="E227" s="65" t="s">
        <v>136</v>
      </c>
      <c r="F227" s="66">
        <v>26.60377358490566</v>
      </c>
      <c r="G227" s="63"/>
      <c r="H227" s="67"/>
      <c r="I227" s="68"/>
      <c r="J227" s="68"/>
      <c r="K227" s="31" t="s">
        <v>65</v>
      </c>
      <c r="L227" s="76">
        <v>227</v>
      </c>
      <c r="M227" s="76"/>
      <c r="N227" s="70"/>
      <c r="O227" s="78" t="s">
        <v>305</v>
      </c>
      <c r="P227" s="78" t="s">
        <v>370</v>
      </c>
      <c r="Q227" s="78" t="s">
        <v>761</v>
      </c>
      <c r="R227" s="78" t="s">
        <v>934</v>
      </c>
      <c r="S227" s="78"/>
      <c r="T227" s="78"/>
      <c r="U227" s="78"/>
      <c r="V227" s="78"/>
      <c r="W227" s="81" t="s">
        <v>1674</v>
      </c>
      <c r="X227" s="81" t="s">
        <v>1674</v>
      </c>
      <c r="Y227" s="78"/>
      <c r="Z227" s="78"/>
      <c r="AA227" s="81" t="s">
        <v>1674</v>
      </c>
      <c r="AB227" s="79">
        <v>12</v>
      </c>
      <c r="AC227" s="80" t="str">
        <f>REPLACE(INDEX(GroupVertices[Group],MATCH("~"&amp;Edges[[#This Row],[Vertex 1]],GroupVertices[Vertex],0)),1,1,"")</f>
        <v>5</v>
      </c>
      <c r="AD227" s="80" t="str">
        <f>REPLACE(INDEX(GroupVertices[Group],MATCH("~"&amp;Edges[[#This Row],[Vertex 2]],GroupVertices[Vertex],0)),1,1,"")</f>
        <v>2</v>
      </c>
      <c r="AE227" s="105"/>
      <c r="AF227" s="105"/>
      <c r="AG227" s="105"/>
      <c r="AH227" s="105"/>
      <c r="AI227" s="105"/>
      <c r="AJ227" s="105"/>
      <c r="AK227" s="105"/>
      <c r="AL227" s="105"/>
      <c r="AM227" s="105"/>
    </row>
    <row r="228" spans="1:39" ht="15">
      <c r="A228" s="62" t="s">
        <v>237</v>
      </c>
      <c r="B228" s="62" t="s">
        <v>254</v>
      </c>
      <c r="C228" s="63" t="s">
        <v>3600</v>
      </c>
      <c r="D228" s="64">
        <v>7.894736842105264</v>
      </c>
      <c r="E228" s="65" t="s">
        <v>136</v>
      </c>
      <c r="F228" s="66">
        <v>26.60377358490566</v>
      </c>
      <c r="G228" s="63"/>
      <c r="H228" s="67"/>
      <c r="I228" s="68"/>
      <c r="J228" s="68"/>
      <c r="K228" s="31" t="s">
        <v>65</v>
      </c>
      <c r="L228" s="76">
        <v>228</v>
      </c>
      <c r="M228" s="76"/>
      <c r="N228" s="70"/>
      <c r="O228" s="78" t="s">
        <v>305</v>
      </c>
      <c r="P228" s="78" t="s">
        <v>370</v>
      </c>
      <c r="Q228" s="78" t="s">
        <v>762</v>
      </c>
      <c r="R228" s="78" t="s">
        <v>930</v>
      </c>
      <c r="S228" s="78"/>
      <c r="T228" s="78"/>
      <c r="U228" s="78"/>
      <c r="V228" s="78"/>
      <c r="W228" s="81" t="s">
        <v>1674</v>
      </c>
      <c r="X228" s="81" t="s">
        <v>1674</v>
      </c>
      <c r="Y228" s="78"/>
      <c r="Z228" s="78"/>
      <c r="AA228" s="81" t="s">
        <v>1674</v>
      </c>
      <c r="AB228" s="79">
        <v>12</v>
      </c>
      <c r="AC228" s="80" t="str">
        <f>REPLACE(INDEX(GroupVertices[Group],MATCH("~"&amp;Edges[[#This Row],[Vertex 1]],GroupVertices[Vertex],0)),1,1,"")</f>
        <v>5</v>
      </c>
      <c r="AD228" s="80" t="str">
        <f>REPLACE(INDEX(GroupVertices[Group],MATCH("~"&amp;Edges[[#This Row],[Vertex 2]],GroupVertices[Vertex],0)),1,1,"")</f>
        <v>2</v>
      </c>
      <c r="AE228" s="105"/>
      <c r="AF228" s="105"/>
      <c r="AG228" s="105"/>
      <c r="AH228" s="105"/>
      <c r="AI228" s="105"/>
      <c r="AJ228" s="105"/>
      <c r="AK228" s="105"/>
      <c r="AL228" s="105"/>
      <c r="AM228" s="105"/>
    </row>
    <row r="229" spans="1:39" ht="15">
      <c r="A229" s="62" t="s">
        <v>237</v>
      </c>
      <c r="B229" s="62" t="s">
        <v>254</v>
      </c>
      <c r="C229" s="63" t="s">
        <v>3600</v>
      </c>
      <c r="D229" s="64">
        <v>7.894736842105264</v>
      </c>
      <c r="E229" s="65" t="s">
        <v>136</v>
      </c>
      <c r="F229" s="66">
        <v>26.60377358490566</v>
      </c>
      <c r="G229" s="63"/>
      <c r="H229" s="67"/>
      <c r="I229" s="68"/>
      <c r="J229" s="68"/>
      <c r="K229" s="31" t="s">
        <v>65</v>
      </c>
      <c r="L229" s="76">
        <v>229</v>
      </c>
      <c r="M229" s="76"/>
      <c r="N229" s="70"/>
      <c r="O229" s="78" t="s">
        <v>305</v>
      </c>
      <c r="P229" s="78" t="s">
        <v>370</v>
      </c>
      <c r="Q229" s="78" t="s">
        <v>762</v>
      </c>
      <c r="R229" s="78" t="s">
        <v>933</v>
      </c>
      <c r="S229" s="78"/>
      <c r="T229" s="78"/>
      <c r="U229" s="78"/>
      <c r="V229" s="78"/>
      <c r="W229" s="81" t="s">
        <v>1674</v>
      </c>
      <c r="X229" s="81" t="s">
        <v>1674</v>
      </c>
      <c r="Y229" s="78"/>
      <c r="Z229" s="78"/>
      <c r="AA229" s="81" t="s">
        <v>1674</v>
      </c>
      <c r="AB229" s="79">
        <v>12</v>
      </c>
      <c r="AC229" s="80" t="str">
        <f>REPLACE(INDEX(GroupVertices[Group],MATCH("~"&amp;Edges[[#This Row],[Vertex 1]],GroupVertices[Vertex],0)),1,1,"")</f>
        <v>5</v>
      </c>
      <c r="AD229" s="80" t="str">
        <f>REPLACE(INDEX(GroupVertices[Group],MATCH("~"&amp;Edges[[#This Row],[Vertex 2]],GroupVertices[Vertex],0)),1,1,"")</f>
        <v>2</v>
      </c>
      <c r="AE229" s="105"/>
      <c r="AF229" s="105"/>
      <c r="AG229" s="105"/>
      <c r="AH229" s="105"/>
      <c r="AI229" s="105"/>
      <c r="AJ229" s="105"/>
      <c r="AK229" s="105"/>
      <c r="AL229" s="105"/>
      <c r="AM229" s="105"/>
    </row>
    <row r="230" spans="1:39" ht="15">
      <c r="A230" s="62" t="s">
        <v>237</v>
      </c>
      <c r="B230" s="62" t="s">
        <v>254</v>
      </c>
      <c r="C230" s="63" t="s">
        <v>3600</v>
      </c>
      <c r="D230" s="64">
        <v>7.894736842105264</v>
      </c>
      <c r="E230" s="65" t="s">
        <v>136</v>
      </c>
      <c r="F230" s="66">
        <v>26.60377358490566</v>
      </c>
      <c r="G230" s="63"/>
      <c r="H230" s="67"/>
      <c r="I230" s="68"/>
      <c r="J230" s="68"/>
      <c r="K230" s="31" t="s">
        <v>65</v>
      </c>
      <c r="L230" s="76">
        <v>230</v>
      </c>
      <c r="M230" s="76"/>
      <c r="N230" s="70"/>
      <c r="O230" s="78" t="s">
        <v>305</v>
      </c>
      <c r="P230" s="78" t="s">
        <v>370</v>
      </c>
      <c r="Q230" s="78" t="s">
        <v>762</v>
      </c>
      <c r="R230" s="78" t="s">
        <v>934</v>
      </c>
      <c r="S230" s="78"/>
      <c r="T230" s="78"/>
      <c r="U230" s="78"/>
      <c r="V230" s="78"/>
      <c r="W230" s="81" t="s">
        <v>1674</v>
      </c>
      <c r="X230" s="81" t="s">
        <v>1674</v>
      </c>
      <c r="Y230" s="78"/>
      <c r="Z230" s="78"/>
      <c r="AA230" s="81" t="s">
        <v>1674</v>
      </c>
      <c r="AB230" s="79">
        <v>12</v>
      </c>
      <c r="AC230" s="80" t="str">
        <f>REPLACE(INDEX(GroupVertices[Group],MATCH("~"&amp;Edges[[#This Row],[Vertex 1]],GroupVertices[Vertex],0)),1,1,"")</f>
        <v>5</v>
      </c>
      <c r="AD230" s="80" t="str">
        <f>REPLACE(INDEX(GroupVertices[Group],MATCH("~"&amp;Edges[[#This Row],[Vertex 2]],GroupVertices[Vertex],0)),1,1,"")</f>
        <v>2</v>
      </c>
      <c r="AE230" s="105"/>
      <c r="AF230" s="105"/>
      <c r="AG230" s="105"/>
      <c r="AH230" s="105"/>
      <c r="AI230" s="105"/>
      <c r="AJ230" s="105"/>
      <c r="AK230" s="105"/>
      <c r="AL230" s="105"/>
      <c r="AM230" s="105"/>
    </row>
    <row r="231" spans="1:39" ht="15">
      <c r="A231" s="62" t="s">
        <v>237</v>
      </c>
      <c r="B231" s="62" t="s">
        <v>254</v>
      </c>
      <c r="C231" s="63" t="s">
        <v>3600</v>
      </c>
      <c r="D231" s="64">
        <v>7.894736842105264</v>
      </c>
      <c r="E231" s="65" t="s">
        <v>136</v>
      </c>
      <c r="F231" s="66">
        <v>26.60377358490566</v>
      </c>
      <c r="G231" s="63"/>
      <c r="H231" s="67"/>
      <c r="I231" s="68"/>
      <c r="J231" s="68"/>
      <c r="K231" s="31" t="s">
        <v>65</v>
      </c>
      <c r="L231" s="76">
        <v>231</v>
      </c>
      <c r="M231" s="76"/>
      <c r="N231" s="70"/>
      <c r="O231" s="78" t="s">
        <v>305</v>
      </c>
      <c r="P231" s="78" t="s">
        <v>371</v>
      </c>
      <c r="Q231" s="78" t="s">
        <v>764</v>
      </c>
      <c r="R231" s="78" t="s">
        <v>819</v>
      </c>
      <c r="S231" s="78"/>
      <c r="T231" s="78"/>
      <c r="U231" s="78"/>
      <c r="V231" s="78"/>
      <c r="W231" s="81" t="s">
        <v>1674</v>
      </c>
      <c r="X231" s="81" t="s">
        <v>1674</v>
      </c>
      <c r="Y231" s="78"/>
      <c r="Z231" s="78"/>
      <c r="AA231" s="81" t="s">
        <v>1674</v>
      </c>
      <c r="AB231" s="79">
        <v>12</v>
      </c>
      <c r="AC231" s="80" t="str">
        <f>REPLACE(INDEX(GroupVertices[Group],MATCH("~"&amp;Edges[[#This Row],[Vertex 1]],GroupVertices[Vertex],0)),1,1,"")</f>
        <v>5</v>
      </c>
      <c r="AD231" s="80" t="str">
        <f>REPLACE(INDEX(GroupVertices[Group],MATCH("~"&amp;Edges[[#This Row],[Vertex 2]],GroupVertices[Vertex],0)),1,1,"")</f>
        <v>2</v>
      </c>
      <c r="AE231" s="105"/>
      <c r="AF231" s="105"/>
      <c r="AG231" s="105"/>
      <c r="AH231" s="105"/>
      <c r="AI231" s="105"/>
      <c r="AJ231" s="105"/>
      <c r="AK231" s="105"/>
      <c r="AL231" s="105"/>
      <c r="AM231" s="105"/>
    </row>
    <row r="232" spans="1:39" ht="15">
      <c r="A232" s="62" t="s">
        <v>237</v>
      </c>
      <c r="B232" s="62" t="s">
        <v>254</v>
      </c>
      <c r="C232" s="63" t="s">
        <v>3600</v>
      </c>
      <c r="D232" s="64">
        <v>7.894736842105264</v>
      </c>
      <c r="E232" s="65" t="s">
        <v>136</v>
      </c>
      <c r="F232" s="66">
        <v>26.60377358490566</v>
      </c>
      <c r="G232" s="63"/>
      <c r="H232" s="67"/>
      <c r="I232" s="68"/>
      <c r="J232" s="68"/>
      <c r="K232" s="31" t="s">
        <v>65</v>
      </c>
      <c r="L232" s="76">
        <v>232</v>
      </c>
      <c r="M232" s="76"/>
      <c r="N232" s="70"/>
      <c r="O232" s="78" t="s">
        <v>305</v>
      </c>
      <c r="P232" s="78" t="s">
        <v>371</v>
      </c>
      <c r="Q232" s="78" t="s">
        <v>764</v>
      </c>
      <c r="R232" s="78" t="s">
        <v>821</v>
      </c>
      <c r="S232" s="78"/>
      <c r="T232" s="78"/>
      <c r="U232" s="78"/>
      <c r="V232" s="78"/>
      <c r="W232" s="81" t="s">
        <v>1674</v>
      </c>
      <c r="X232" s="81" t="s">
        <v>1674</v>
      </c>
      <c r="Y232" s="78"/>
      <c r="Z232" s="78"/>
      <c r="AA232" s="81" t="s">
        <v>1674</v>
      </c>
      <c r="AB232" s="79">
        <v>12</v>
      </c>
      <c r="AC232" s="80" t="str">
        <f>REPLACE(INDEX(GroupVertices[Group],MATCH("~"&amp;Edges[[#This Row],[Vertex 1]],GroupVertices[Vertex],0)),1,1,"")</f>
        <v>5</v>
      </c>
      <c r="AD232" s="80" t="str">
        <f>REPLACE(INDEX(GroupVertices[Group],MATCH("~"&amp;Edges[[#This Row],[Vertex 2]],GroupVertices[Vertex],0)),1,1,"")</f>
        <v>2</v>
      </c>
      <c r="AE232" s="105"/>
      <c r="AF232" s="105"/>
      <c r="AG232" s="105"/>
      <c r="AH232" s="105"/>
      <c r="AI232" s="105"/>
      <c r="AJ232" s="105"/>
      <c r="AK232" s="105"/>
      <c r="AL232" s="105"/>
      <c r="AM232" s="105"/>
    </row>
    <row r="233" spans="1:39" ht="15">
      <c r="A233" s="62" t="s">
        <v>237</v>
      </c>
      <c r="B233" s="62" t="s">
        <v>254</v>
      </c>
      <c r="C233" s="63" t="s">
        <v>3600</v>
      </c>
      <c r="D233" s="64">
        <v>7.894736842105264</v>
      </c>
      <c r="E233" s="65" t="s">
        <v>136</v>
      </c>
      <c r="F233" s="66">
        <v>26.60377358490566</v>
      </c>
      <c r="G233" s="63"/>
      <c r="H233" s="67"/>
      <c r="I233" s="68"/>
      <c r="J233" s="68"/>
      <c r="K233" s="31" t="s">
        <v>65</v>
      </c>
      <c r="L233" s="76">
        <v>233</v>
      </c>
      <c r="M233" s="76"/>
      <c r="N233" s="70"/>
      <c r="O233" s="78" t="s">
        <v>305</v>
      </c>
      <c r="P233" s="78" t="s">
        <v>370</v>
      </c>
      <c r="Q233" s="78" t="s">
        <v>763</v>
      </c>
      <c r="R233" s="78" t="s">
        <v>930</v>
      </c>
      <c r="S233" s="78"/>
      <c r="T233" s="78"/>
      <c r="U233" s="78"/>
      <c r="V233" s="78"/>
      <c r="W233" s="81" t="s">
        <v>1674</v>
      </c>
      <c r="X233" s="81" t="s">
        <v>1674</v>
      </c>
      <c r="Y233" s="78"/>
      <c r="Z233" s="78"/>
      <c r="AA233" s="81" t="s">
        <v>1674</v>
      </c>
      <c r="AB233" s="79">
        <v>12</v>
      </c>
      <c r="AC233" s="80" t="str">
        <f>REPLACE(INDEX(GroupVertices[Group],MATCH("~"&amp;Edges[[#This Row],[Vertex 1]],GroupVertices[Vertex],0)),1,1,"")</f>
        <v>5</v>
      </c>
      <c r="AD233" s="80" t="str">
        <f>REPLACE(INDEX(GroupVertices[Group],MATCH("~"&amp;Edges[[#This Row],[Vertex 2]],GroupVertices[Vertex],0)),1,1,"")</f>
        <v>2</v>
      </c>
      <c r="AE233" s="105"/>
      <c r="AF233" s="105"/>
      <c r="AG233" s="105"/>
      <c r="AH233" s="105"/>
      <c r="AI233" s="105"/>
      <c r="AJ233" s="105"/>
      <c r="AK233" s="105"/>
      <c r="AL233" s="105"/>
      <c r="AM233" s="105"/>
    </row>
    <row r="234" spans="1:39" ht="15">
      <c r="A234" s="62" t="s">
        <v>237</v>
      </c>
      <c r="B234" s="62" t="s">
        <v>254</v>
      </c>
      <c r="C234" s="63" t="s">
        <v>3600</v>
      </c>
      <c r="D234" s="64">
        <v>7.894736842105264</v>
      </c>
      <c r="E234" s="65" t="s">
        <v>136</v>
      </c>
      <c r="F234" s="66">
        <v>26.60377358490566</v>
      </c>
      <c r="G234" s="63"/>
      <c r="H234" s="67"/>
      <c r="I234" s="68"/>
      <c r="J234" s="68"/>
      <c r="K234" s="31" t="s">
        <v>65</v>
      </c>
      <c r="L234" s="76">
        <v>234</v>
      </c>
      <c r="M234" s="76"/>
      <c r="N234" s="70"/>
      <c r="O234" s="78" t="s">
        <v>305</v>
      </c>
      <c r="P234" s="78" t="s">
        <v>370</v>
      </c>
      <c r="Q234" s="78" t="s">
        <v>763</v>
      </c>
      <c r="R234" s="78" t="s">
        <v>933</v>
      </c>
      <c r="S234" s="78"/>
      <c r="T234" s="78"/>
      <c r="U234" s="78"/>
      <c r="V234" s="78"/>
      <c r="W234" s="81" t="s">
        <v>1674</v>
      </c>
      <c r="X234" s="81" t="s">
        <v>1674</v>
      </c>
      <c r="Y234" s="78"/>
      <c r="Z234" s="78"/>
      <c r="AA234" s="81" t="s">
        <v>1674</v>
      </c>
      <c r="AB234" s="79">
        <v>12</v>
      </c>
      <c r="AC234" s="80" t="str">
        <f>REPLACE(INDEX(GroupVertices[Group],MATCH("~"&amp;Edges[[#This Row],[Vertex 1]],GroupVertices[Vertex],0)),1,1,"")</f>
        <v>5</v>
      </c>
      <c r="AD234" s="80" t="str">
        <f>REPLACE(INDEX(GroupVertices[Group],MATCH("~"&amp;Edges[[#This Row],[Vertex 2]],GroupVertices[Vertex],0)),1,1,"")</f>
        <v>2</v>
      </c>
      <c r="AE234" s="105"/>
      <c r="AF234" s="105"/>
      <c r="AG234" s="105"/>
      <c r="AH234" s="105"/>
      <c r="AI234" s="105"/>
      <c r="AJ234" s="105"/>
      <c r="AK234" s="105"/>
      <c r="AL234" s="105"/>
      <c r="AM234" s="105"/>
    </row>
    <row r="235" spans="1:39" ht="15">
      <c r="A235" s="62" t="s">
        <v>237</v>
      </c>
      <c r="B235" s="62" t="s">
        <v>254</v>
      </c>
      <c r="C235" s="63" t="s">
        <v>3600</v>
      </c>
      <c r="D235" s="64">
        <v>7.894736842105264</v>
      </c>
      <c r="E235" s="65" t="s">
        <v>136</v>
      </c>
      <c r="F235" s="66">
        <v>26.60377358490566</v>
      </c>
      <c r="G235" s="63"/>
      <c r="H235" s="67"/>
      <c r="I235" s="68"/>
      <c r="J235" s="68"/>
      <c r="K235" s="31" t="s">
        <v>65</v>
      </c>
      <c r="L235" s="76">
        <v>235</v>
      </c>
      <c r="M235" s="76"/>
      <c r="N235" s="70"/>
      <c r="O235" s="78" t="s">
        <v>305</v>
      </c>
      <c r="P235" s="78" t="s">
        <v>370</v>
      </c>
      <c r="Q235" s="78" t="s">
        <v>763</v>
      </c>
      <c r="R235" s="78" t="s">
        <v>934</v>
      </c>
      <c r="S235" s="78"/>
      <c r="T235" s="78"/>
      <c r="U235" s="78"/>
      <c r="V235" s="78"/>
      <c r="W235" s="81" t="s">
        <v>1674</v>
      </c>
      <c r="X235" s="81" t="s">
        <v>1674</v>
      </c>
      <c r="Y235" s="78"/>
      <c r="Z235" s="78"/>
      <c r="AA235" s="81" t="s">
        <v>1674</v>
      </c>
      <c r="AB235" s="79">
        <v>12</v>
      </c>
      <c r="AC235" s="80" t="str">
        <f>REPLACE(INDEX(GroupVertices[Group],MATCH("~"&amp;Edges[[#This Row],[Vertex 1]],GroupVertices[Vertex],0)),1,1,"")</f>
        <v>5</v>
      </c>
      <c r="AD235" s="80" t="str">
        <f>REPLACE(INDEX(GroupVertices[Group],MATCH("~"&amp;Edges[[#This Row],[Vertex 2]],GroupVertices[Vertex],0)),1,1,"")</f>
        <v>2</v>
      </c>
      <c r="AE235" s="105"/>
      <c r="AF235" s="105"/>
      <c r="AG235" s="105"/>
      <c r="AH235" s="105"/>
      <c r="AI235" s="105"/>
      <c r="AJ235" s="105"/>
      <c r="AK235" s="105"/>
      <c r="AL235" s="105"/>
      <c r="AM235" s="105"/>
    </row>
    <row r="236" spans="1:39" ht="15">
      <c r="A236" s="62" t="s">
        <v>237</v>
      </c>
      <c r="B236" s="62" t="s">
        <v>254</v>
      </c>
      <c r="C236" s="63" t="s">
        <v>3600</v>
      </c>
      <c r="D236" s="64">
        <v>7.894736842105264</v>
      </c>
      <c r="E236" s="65" t="s">
        <v>136</v>
      </c>
      <c r="F236" s="66">
        <v>26.60377358490566</v>
      </c>
      <c r="G236" s="63"/>
      <c r="H236" s="67"/>
      <c r="I236" s="68"/>
      <c r="J236" s="68"/>
      <c r="K236" s="31" t="s">
        <v>65</v>
      </c>
      <c r="L236" s="76">
        <v>236</v>
      </c>
      <c r="M236" s="76"/>
      <c r="N236" s="70"/>
      <c r="O236" s="78" t="s">
        <v>305</v>
      </c>
      <c r="P236" s="78" t="s">
        <v>380</v>
      </c>
      <c r="Q236" s="78" t="s">
        <v>775</v>
      </c>
      <c r="R236" s="78" t="s">
        <v>1333</v>
      </c>
      <c r="S236" s="78"/>
      <c r="T236" s="78"/>
      <c r="U236" s="78"/>
      <c r="V236" s="78"/>
      <c r="W236" s="81" t="s">
        <v>1674</v>
      </c>
      <c r="X236" s="81" t="s">
        <v>1674</v>
      </c>
      <c r="Y236" s="78"/>
      <c r="Z236" s="78"/>
      <c r="AA236" s="81" t="s">
        <v>1674</v>
      </c>
      <c r="AB236" s="79">
        <v>12</v>
      </c>
      <c r="AC236" s="80" t="str">
        <f>REPLACE(INDEX(GroupVertices[Group],MATCH("~"&amp;Edges[[#This Row],[Vertex 1]],GroupVertices[Vertex],0)),1,1,"")</f>
        <v>5</v>
      </c>
      <c r="AD236" s="80" t="str">
        <f>REPLACE(INDEX(GroupVertices[Group],MATCH("~"&amp;Edges[[#This Row],[Vertex 2]],GroupVertices[Vertex],0)),1,1,"")</f>
        <v>2</v>
      </c>
      <c r="AE236" s="105"/>
      <c r="AF236" s="105"/>
      <c r="AG236" s="105"/>
      <c r="AH236" s="105"/>
      <c r="AI236" s="105"/>
      <c r="AJ236" s="105"/>
      <c r="AK236" s="105"/>
      <c r="AL236" s="105"/>
      <c r="AM236" s="105"/>
    </row>
    <row r="237" spans="1:39" ht="15">
      <c r="A237" s="62" t="s">
        <v>237</v>
      </c>
      <c r="B237" s="62" t="s">
        <v>255</v>
      </c>
      <c r="C237" s="63" t="s">
        <v>3599</v>
      </c>
      <c r="D237" s="64">
        <v>6.052631578947368</v>
      </c>
      <c r="E237" s="65" t="s">
        <v>136</v>
      </c>
      <c r="F237" s="66">
        <v>30.037735849056602</v>
      </c>
      <c r="G237" s="63"/>
      <c r="H237" s="67"/>
      <c r="I237" s="68"/>
      <c r="J237" s="68"/>
      <c r="K237" s="31" t="s">
        <v>65</v>
      </c>
      <c r="L237" s="76">
        <v>237</v>
      </c>
      <c r="M237" s="76"/>
      <c r="N237" s="70"/>
      <c r="O237" s="78" t="s">
        <v>305</v>
      </c>
      <c r="P237" s="78" t="s">
        <v>370</v>
      </c>
      <c r="Q237" s="78" t="s">
        <v>761</v>
      </c>
      <c r="R237" s="78" t="s">
        <v>935</v>
      </c>
      <c r="S237" s="78"/>
      <c r="T237" s="78"/>
      <c r="U237" s="78"/>
      <c r="V237" s="78"/>
      <c r="W237" s="81" t="s">
        <v>1674</v>
      </c>
      <c r="X237" s="81" t="s">
        <v>1674</v>
      </c>
      <c r="Y237" s="78"/>
      <c r="Z237" s="78"/>
      <c r="AA237" s="81" t="s">
        <v>1674</v>
      </c>
      <c r="AB237" s="79">
        <v>5</v>
      </c>
      <c r="AC237" s="80" t="str">
        <f>REPLACE(INDEX(GroupVertices[Group],MATCH("~"&amp;Edges[[#This Row],[Vertex 1]],GroupVertices[Vertex],0)),1,1,"")</f>
        <v>5</v>
      </c>
      <c r="AD237" s="80" t="str">
        <f>REPLACE(INDEX(GroupVertices[Group],MATCH("~"&amp;Edges[[#This Row],[Vertex 2]],GroupVertices[Vertex],0)),1,1,"")</f>
        <v>1</v>
      </c>
      <c r="AE237" s="105"/>
      <c r="AF237" s="105"/>
      <c r="AG237" s="105"/>
      <c r="AH237" s="105"/>
      <c r="AI237" s="105"/>
      <c r="AJ237" s="105"/>
      <c r="AK237" s="105"/>
      <c r="AL237" s="105"/>
      <c r="AM237" s="105"/>
    </row>
    <row r="238" spans="1:39" ht="15">
      <c r="A238" s="62" t="s">
        <v>237</v>
      </c>
      <c r="B238" s="62" t="s">
        <v>255</v>
      </c>
      <c r="C238" s="63" t="s">
        <v>3599</v>
      </c>
      <c r="D238" s="64">
        <v>6.052631578947368</v>
      </c>
      <c r="E238" s="65" t="s">
        <v>136</v>
      </c>
      <c r="F238" s="66">
        <v>30.037735849056602</v>
      </c>
      <c r="G238" s="63"/>
      <c r="H238" s="67"/>
      <c r="I238" s="68"/>
      <c r="J238" s="68"/>
      <c r="K238" s="31" t="s">
        <v>65</v>
      </c>
      <c r="L238" s="76">
        <v>238</v>
      </c>
      <c r="M238" s="76"/>
      <c r="N238" s="70"/>
      <c r="O238" s="78" t="s">
        <v>305</v>
      </c>
      <c r="P238" s="78" t="s">
        <v>370</v>
      </c>
      <c r="Q238" s="78" t="s">
        <v>762</v>
      </c>
      <c r="R238" s="78" t="s">
        <v>935</v>
      </c>
      <c r="S238" s="78"/>
      <c r="T238" s="78"/>
      <c r="U238" s="78"/>
      <c r="V238" s="78"/>
      <c r="W238" s="81" t="s">
        <v>1674</v>
      </c>
      <c r="X238" s="81" t="s">
        <v>1674</v>
      </c>
      <c r="Y238" s="78"/>
      <c r="Z238" s="78"/>
      <c r="AA238" s="81" t="s">
        <v>1674</v>
      </c>
      <c r="AB238" s="79">
        <v>5</v>
      </c>
      <c r="AC238" s="80" t="str">
        <f>REPLACE(INDEX(GroupVertices[Group],MATCH("~"&amp;Edges[[#This Row],[Vertex 1]],GroupVertices[Vertex],0)),1,1,"")</f>
        <v>5</v>
      </c>
      <c r="AD238" s="80" t="str">
        <f>REPLACE(INDEX(GroupVertices[Group],MATCH("~"&amp;Edges[[#This Row],[Vertex 2]],GroupVertices[Vertex],0)),1,1,"")</f>
        <v>1</v>
      </c>
      <c r="AE238" s="105"/>
      <c r="AF238" s="105"/>
      <c r="AG238" s="105"/>
      <c r="AH238" s="105"/>
      <c r="AI238" s="105"/>
      <c r="AJ238" s="105"/>
      <c r="AK238" s="105"/>
      <c r="AL238" s="105"/>
      <c r="AM238" s="105"/>
    </row>
    <row r="239" spans="1:39" ht="15">
      <c r="A239" s="62" t="s">
        <v>237</v>
      </c>
      <c r="B239" s="62" t="s">
        <v>255</v>
      </c>
      <c r="C239" s="63" t="s">
        <v>3599</v>
      </c>
      <c r="D239" s="64">
        <v>6.052631578947368</v>
      </c>
      <c r="E239" s="65" t="s">
        <v>136</v>
      </c>
      <c r="F239" s="66">
        <v>30.037735849056602</v>
      </c>
      <c r="G239" s="63"/>
      <c r="H239" s="67"/>
      <c r="I239" s="68"/>
      <c r="J239" s="68"/>
      <c r="K239" s="31" t="s">
        <v>65</v>
      </c>
      <c r="L239" s="76">
        <v>239</v>
      </c>
      <c r="M239" s="76"/>
      <c r="N239" s="70"/>
      <c r="O239" s="78" t="s">
        <v>305</v>
      </c>
      <c r="P239" s="78" t="s">
        <v>370</v>
      </c>
      <c r="Q239" s="78" t="s">
        <v>763</v>
      </c>
      <c r="R239" s="78" t="s">
        <v>935</v>
      </c>
      <c r="S239" s="78"/>
      <c r="T239" s="78"/>
      <c r="U239" s="78"/>
      <c r="V239" s="78"/>
      <c r="W239" s="81" t="s">
        <v>1674</v>
      </c>
      <c r="X239" s="81" t="s">
        <v>1674</v>
      </c>
      <c r="Y239" s="78"/>
      <c r="Z239" s="78"/>
      <c r="AA239" s="81" t="s">
        <v>1674</v>
      </c>
      <c r="AB239" s="79">
        <v>5</v>
      </c>
      <c r="AC239" s="80" t="str">
        <f>REPLACE(INDEX(GroupVertices[Group],MATCH("~"&amp;Edges[[#This Row],[Vertex 1]],GroupVertices[Vertex],0)),1,1,"")</f>
        <v>5</v>
      </c>
      <c r="AD239" s="80" t="str">
        <f>REPLACE(INDEX(GroupVertices[Group],MATCH("~"&amp;Edges[[#This Row],[Vertex 2]],GroupVertices[Vertex],0)),1,1,"")</f>
        <v>1</v>
      </c>
      <c r="AE239" s="105"/>
      <c r="AF239" s="105"/>
      <c r="AG239" s="105"/>
      <c r="AH239" s="105"/>
      <c r="AI239" s="105"/>
      <c r="AJ239" s="105"/>
      <c r="AK239" s="105"/>
      <c r="AL239" s="105"/>
      <c r="AM239" s="105"/>
    </row>
    <row r="240" spans="1:39" ht="15">
      <c r="A240" s="62" t="s">
        <v>237</v>
      </c>
      <c r="B240" s="62" t="s">
        <v>255</v>
      </c>
      <c r="C240" s="63" t="s">
        <v>3599</v>
      </c>
      <c r="D240" s="64">
        <v>6.052631578947368</v>
      </c>
      <c r="E240" s="65" t="s">
        <v>136</v>
      </c>
      <c r="F240" s="66">
        <v>30.037735849056602</v>
      </c>
      <c r="G240" s="63"/>
      <c r="H240" s="67"/>
      <c r="I240" s="68"/>
      <c r="J240" s="68"/>
      <c r="K240" s="31" t="s">
        <v>65</v>
      </c>
      <c r="L240" s="76">
        <v>240</v>
      </c>
      <c r="M240" s="76"/>
      <c r="N240" s="70"/>
      <c r="O240" s="78" t="s">
        <v>305</v>
      </c>
      <c r="P240" s="78" t="s">
        <v>381</v>
      </c>
      <c r="Q240" s="78" t="s">
        <v>776</v>
      </c>
      <c r="R240" s="78" t="s">
        <v>1334</v>
      </c>
      <c r="S240" s="78"/>
      <c r="T240" s="78"/>
      <c r="U240" s="78"/>
      <c r="V240" s="78"/>
      <c r="W240" s="81" t="s">
        <v>1674</v>
      </c>
      <c r="X240" s="81" t="s">
        <v>1674</v>
      </c>
      <c r="Y240" s="78"/>
      <c r="Z240" s="78"/>
      <c r="AA240" s="81" t="s">
        <v>1674</v>
      </c>
      <c r="AB240" s="79">
        <v>5</v>
      </c>
      <c r="AC240" s="80" t="str">
        <f>REPLACE(INDEX(GroupVertices[Group],MATCH("~"&amp;Edges[[#This Row],[Vertex 1]],GroupVertices[Vertex],0)),1,1,"")</f>
        <v>5</v>
      </c>
      <c r="AD240" s="80" t="str">
        <f>REPLACE(INDEX(GroupVertices[Group],MATCH("~"&amp;Edges[[#This Row],[Vertex 2]],GroupVertices[Vertex],0)),1,1,"")</f>
        <v>1</v>
      </c>
      <c r="AE240" s="105"/>
      <c r="AF240" s="105"/>
      <c r="AG240" s="105"/>
      <c r="AH240" s="105"/>
      <c r="AI240" s="105"/>
      <c r="AJ240" s="105"/>
      <c r="AK240" s="105"/>
      <c r="AL240" s="105"/>
      <c r="AM240" s="105"/>
    </row>
    <row r="241" spans="1:39" ht="15">
      <c r="A241" s="62" t="s">
        <v>237</v>
      </c>
      <c r="B241" s="62" t="s">
        <v>255</v>
      </c>
      <c r="C241" s="63" t="s">
        <v>3599</v>
      </c>
      <c r="D241" s="64">
        <v>6.052631578947368</v>
      </c>
      <c r="E241" s="65" t="s">
        <v>136</v>
      </c>
      <c r="F241" s="66">
        <v>30.037735849056602</v>
      </c>
      <c r="G241" s="63"/>
      <c r="H241" s="67"/>
      <c r="I241" s="68"/>
      <c r="J241" s="68"/>
      <c r="K241" s="31" t="s">
        <v>65</v>
      </c>
      <c r="L241" s="76">
        <v>241</v>
      </c>
      <c r="M241" s="76"/>
      <c r="N241" s="70"/>
      <c r="O241" s="78" t="s">
        <v>305</v>
      </c>
      <c r="P241" s="78" t="s">
        <v>380</v>
      </c>
      <c r="Q241" s="78" t="s">
        <v>775</v>
      </c>
      <c r="R241" s="78" t="s">
        <v>993</v>
      </c>
      <c r="S241" s="78"/>
      <c r="T241" s="78"/>
      <c r="U241" s="78"/>
      <c r="V241" s="78"/>
      <c r="W241" s="81" t="s">
        <v>1674</v>
      </c>
      <c r="X241" s="81" t="s">
        <v>1674</v>
      </c>
      <c r="Y241" s="78"/>
      <c r="Z241" s="78"/>
      <c r="AA241" s="81" t="s">
        <v>1674</v>
      </c>
      <c r="AB241" s="79">
        <v>5</v>
      </c>
      <c r="AC241" s="80" t="str">
        <f>REPLACE(INDEX(GroupVertices[Group],MATCH("~"&amp;Edges[[#This Row],[Vertex 1]],GroupVertices[Vertex],0)),1,1,"")</f>
        <v>5</v>
      </c>
      <c r="AD241" s="80" t="str">
        <f>REPLACE(INDEX(GroupVertices[Group],MATCH("~"&amp;Edges[[#This Row],[Vertex 2]],GroupVertices[Vertex],0)),1,1,"")</f>
        <v>1</v>
      </c>
      <c r="AE241" s="105"/>
      <c r="AF241" s="105"/>
      <c r="AG241" s="105"/>
      <c r="AH241" s="105"/>
      <c r="AI241" s="105"/>
      <c r="AJ241" s="105"/>
      <c r="AK241" s="105"/>
      <c r="AL241" s="105"/>
      <c r="AM241" s="105"/>
    </row>
    <row r="242" spans="1:39" ht="15">
      <c r="A242" s="62" t="s">
        <v>237</v>
      </c>
      <c r="B242" s="62" t="s">
        <v>256</v>
      </c>
      <c r="C242" s="63" t="s">
        <v>3599</v>
      </c>
      <c r="D242" s="64">
        <v>6.315789473684211</v>
      </c>
      <c r="E242" s="65" t="s">
        <v>136</v>
      </c>
      <c r="F242" s="66">
        <v>29.547169811320757</v>
      </c>
      <c r="G242" s="63"/>
      <c r="H242" s="67"/>
      <c r="I242" s="68"/>
      <c r="J242" s="68"/>
      <c r="K242" s="31" t="s">
        <v>65</v>
      </c>
      <c r="L242" s="76">
        <v>242</v>
      </c>
      <c r="M242" s="76"/>
      <c r="N242" s="70"/>
      <c r="O242" s="78" t="s">
        <v>305</v>
      </c>
      <c r="P242" s="78" t="s">
        <v>370</v>
      </c>
      <c r="Q242" s="78" t="s">
        <v>761</v>
      </c>
      <c r="R242" s="78" t="s">
        <v>936</v>
      </c>
      <c r="S242" s="78"/>
      <c r="T242" s="78"/>
      <c r="U242" s="78"/>
      <c r="V242" s="78"/>
      <c r="W242" s="81" t="s">
        <v>1674</v>
      </c>
      <c r="X242" s="81" t="s">
        <v>1674</v>
      </c>
      <c r="Y242" s="78"/>
      <c r="Z242" s="78"/>
      <c r="AA242" s="81" t="s">
        <v>1674</v>
      </c>
      <c r="AB242" s="79">
        <v>6</v>
      </c>
      <c r="AC242" s="80" t="str">
        <f>REPLACE(INDEX(GroupVertices[Group],MATCH("~"&amp;Edges[[#This Row],[Vertex 1]],GroupVertices[Vertex],0)),1,1,"")</f>
        <v>5</v>
      </c>
      <c r="AD242" s="80" t="str">
        <f>REPLACE(INDEX(GroupVertices[Group],MATCH("~"&amp;Edges[[#This Row],[Vertex 2]],GroupVertices[Vertex],0)),1,1,"")</f>
        <v>1</v>
      </c>
      <c r="AE242" s="105"/>
      <c r="AF242" s="105"/>
      <c r="AG242" s="105"/>
      <c r="AH242" s="105"/>
      <c r="AI242" s="105"/>
      <c r="AJ242" s="105"/>
      <c r="AK242" s="105"/>
      <c r="AL242" s="105"/>
      <c r="AM242" s="105"/>
    </row>
    <row r="243" spans="1:39" ht="15">
      <c r="A243" s="62" t="s">
        <v>237</v>
      </c>
      <c r="B243" s="62" t="s">
        <v>256</v>
      </c>
      <c r="C243" s="63" t="s">
        <v>3599</v>
      </c>
      <c r="D243" s="64">
        <v>6.315789473684211</v>
      </c>
      <c r="E243" s="65" t="s">
        <v>136</v>
      </c>
      <c r="F243" s="66">
        <v>29.547169811320757</v>
      </c>
      <c r="G243" s="63"/>
      <c r="H243" s="67"/>
      <c r="I243" s="68"/>
      <c r="J243" s="68"/>
      <c r="K243" s="31" t="s">
        <v>65</v>
      </c>
      <c r="L243" s="76">
        <v>243</v>
      </c>
      <c r="M243" s="76"/>
      <c r="N243" s="70"/>
      <c r="O243" s="78" t="s">
        <v>305</v>
      </c>
      <c r="P243" s="78" t="s">
        <v>370</v>
      </c>
      <c r="Q243" s="78" t="s">
        <v>761</v>
      </c>
      <c r="R243" s="78" t="s">
        <v>937</v>
      </c>
      <c r="S243" s="78"/>
      <c r="T243" s="78"/>
      <c r="U243" s="78"/>
      <c r="V243" s="78"/>
      <c r="W243" s="81" t="s">
        <v>1674</v>
      </c>
      <c r="X243" s="81" t="s">
        <v>1674</v>
      </c>
      <c r="Y243" s="78"/>
      <c r="Z243" s="78"/>
      <c r="AA243" s="81" t="s">
        <v>1674</v>
      </c>
      <c r="AB243" s="79">
        <v>6</v>
      </c>
      <c r="AC243" s="80" t="str">
        <f>REPLACE(INDEX(GroupVertices[Group],MATCH("~"&amp;Edges[[#This Row],[Vertex 1]],GroupVertices[Vertex],0)),1,1,"")</f>
        <v>5</v>
      </c>
      <c r="AD243" s="80" t="str">
        <f>REPLACE(INDEX(GroupVertices[Group],MATCH("~"&amp;Edges[[#This Row],[Vertex 2]],GroupVertices[Vertex],0)),1,1,"")</f>
        <v>1</v>
      </c>
      <c r="AE243" s="105"/>
      <c r="AF243" s="105"/>
      <c r="AG243" s="105"/>
      <c r="AH243" s="105"/>
      <c r="AI243" s="105"/>
      <c r="AJ243" s="105"/>
      <c r="AK243" s="105"/>
      <c r="AL243" s="105"/>
      <c r="AM243" s="105"/>
    </row>
    <row r="244" spans="1:39" ht="15">
      <c r="A244" s="62" t="s">
        <v>237</v>
      </c>
      <c r="B244" s="62" t="s">
        <v>256</v>
      </c>
      <c r="C244" s="63" t="s">
        <v>3599</v>
      </c>
      <c r="D244" s="64">
        <v>6.315789473684211</v>
      </c>
      <c r="E244" s="65" t="s">
        <v>136</v>
      </c>
      <c r="F244" s="66">
        <v>29.547169811320757</v>
      </c>
      <c r="G244" s="63"/>
      <c r="H244" s="67"/>
      <c r="I244" s="68"/>
      <c r="J244" s="68"/>
      <c r="K244" s="31" t="s">
        <v>65</v>
      </c>
      <c r="L244" s="76">
        <v>244</v>
      </c>
      <c r="M244" s="76"/>
      <c r="N244" s="70"/>
      <c r="O244" s="78" t="s">
        <v>305</v>
      </c>
      <c r="P244" s="78" t="s">
        <v>370</v>
      </c>
      <c r="Q244" s="78" t="s">
        <v>762</v>
      </c>
      <c r="R244" s="78" t="s">
        <v>936</v>
      </c>
      <c r="S244" s="78"/>
      <c r="T244" s="78"/>
      <c r="U244" s="78"/>
      <c r="V244" s="78"/>
      <c r="W244" s="81" t="s">
        <v>1674</v>
      </c>
      <c r="X244" s="81" t="s">
        <v>1674</v>
      </c>
      <c r="Y244" s="78"/>
      <c r="Z244" s="78"/>
      <c r="AA244" s="81" t="s">
        <v>1674</v>
      </c>
      <c r="AB244" s="79">
        <v>6</v>
      </c>
      <c r="AC244" s="80" t="str">
        <f>REPLACE(INDEX(GroupVertices[Group],MATCH("~"&amp;Edges[[#This Row],[Vertex 1]],GroupVertices[Vertex],0)),1,1,"")</f>
        <v>5</v>
      </c>
      <c r="AD244" s="80" t="str">
        <f>REPLACE(INDEX(GroupVertices[Group],MATCH("~"&amp;Edges[[#This Row],[Vertex 2]],GroupVertices[Vertex],0)),1,1,"")</f>
        <v>1</v>
      </c>
      <c r="AE244" s="105"/>
      <c r="AF244" s="105"/>
      <c r="AG244" s="105"/>
      <c r="AH244" s="105"/>
      <c r="AI244" s="105"/>
      <c r="AJ244" s="105"/>
      <c r="AK244" s="105"/>
      <c r="AL244" s="105"/>
      <c r="AM244" s="105"/>
    </row>
    <row r="245" spans="1:39" ht="15">
      <c r="A245" s="62" t="s">
        <v>237</v>
      </c>
      <c r="B245" s="62" t="s">
        <v>256</v>
      </c>
      <c r="C245" s="63" t="s">
        <v>3599</v>
      </c>
      <c r="D245" s="64">
        <v>6.315789473684211</v>
      </c>
      <c r="E245" s="65" t="s">
        <v>136</v>
      </c>
      <c r="F245" s="66">
        <v>29.547169811320757</v>
      </c>
      <c r="G245" s="63"/>
      <c r="H245" s="67"/>
      <c r="I245" s="68"/>
      <c r="J245" s="68"/>
      <c r="K245" s="31" t="s">
        <v>65</v>
      </c>
      <c r="L245" s="76">
        <v>245</v>
      </c>
      <c r="M245" s="76"/>
      <c r="N245" s="70"/>
      <c r="O245" s="78" t="s">
        <v>305</v>
      </c>
      <c r="P245" s="78" t="s">
        <v>370</v>
      </c>
      <c r="Q245" s="78" t="s">
        <v>762</v>
      </c>
      <c r="R245" s="78" t="s">
        <v>937</v>
      </c>
      <c r="S245" s="78"/>
      <c r="T245" s="78"/>
      <c r="U245" s="78"/>
      <c r="V245" s="78"/>
      <c r="W245" s="81" t="s">
        <v>1674</v>
      </c>
      <c r="X245" s="81" t="s">
        <v>1674</v>
      </c>
      <c r="Y245" s="78"/>
      <c r="Z245" s="78"/>
      <c r="AA245" s="81" t="s">
        <v>1674</v>
      </c>
      <c r="AB245" s="79">
        <v>6</v>
      </c>
      <c r="AC245" s="80" t="str">
        <f>REPLACE(INDEX(GroupVertices[Group],MATCH("~"&amp;Edges[[#This Row],[Vertex 1]],GroupVertices[Vertex],0)),1,1,"")</f>
        <v>5</v>
      </c>
      <c r="AD245" s="80" t="str">
        <f>REPLACE(INDEX(GroupVertices[Group],MATCH("~"&amp;Edges[[#This Row],[Vertex 2]],GroupVertices[Vertex],0)),1,1,"")</f>
        <v>1</v>
      </c>
      <c r="AE245" s="105"/>
      <c r="AF245" s="105"/>
      <c r="AG245" s="105"/>
      <c r="AH245" s="105"/>
      <c r="AI245" s="105"/>
      <c r="AJ245" s="105"/>
      <c r="AK245" s="105"/>
      <c r="AL245" s="105"/>
      <c r="AM245" s="105"/>
    </row>
    <row r="246" spans="1:39" ht="15">
      <c r="A246" s="62" t="s">
        <v>237</v>
      </c>
      <c r="B246" s="62" t="s">
        <v>256</v>
      </c>
      <c r="C246" s="63" t="s">
        <v>3599</v>
      </c>
      <c r="D246" s="64">
        <v>6.315789473684211</v>
      </c>
      <c r="E246" s="65" t="s">
        <v>136</v>
      </c>
      <c r="F246" s="66">
        <v>29.547169811320757</v>
      </c>
      <c r="G246" s="63"/>
      <c r="H246" s="67"/>
      <c r="I246" s="68"/>
      <c r="J246" s="68"/>
      <c r="K246" s="31" t="s">
        <v>65</v>
      </c>
      <c r="L246" s="76">
        <v>246</v>
      </c>
      <c r="M246" s="76"/>
      <c r="N246" s="70"/>
      <c r="O246" s="78" t="s">
        <v>305</v>
      </c>
      <c r="P246" s="78" t="s">
        <v>370</v>
      </c>
      <c r="Q246" s="78" t="s">
        <v>763</v>
      </c>
      <c r="R246" s="78" t="s">
        <v>936</v>
      </c>
      <c r="S246" s="78"/>
      <c r="T246" s="78"/>
      <c r="U246" s="78"/>
      <c r="V246" s="78"/>
      <c r="W246" s="81" t="s">
        <v>1674</v>
      </c>
      <c r="X246" s="81" t="s">
        <v>1674</v>
      </c>
      <c r="Y246" s="78"/>
      <c r="Z246" s="78"/>
      <c r="AA246" s="81" t="s">
        <v>1674</v>
      </c>
      <c r="AB246" s="79">
        <v>6</v>
      </c>
      <c r="AC246" s="80" t="str">
        <f>REPLACE(INDEX(GroupVertices[Group],MATCH("~"&amp;Edges[[#This Row],[Vertex 1]],GroupVertices[Vertex],0)),1,1,"")</f>
        <v>5</v>
      </c>
      <c r="AD246" s="80" t="str">
        <f>REPLACE(INDEX(GroupVertices[Group],MATCH("~"&amp;Edges[[#This Row],[Vertex 2]],GroupVertices[Vertex],0)),1,1,"")</f>
        <v>1</v>
      </c>
      <c r="AE246" s="105"/>
      <c r="AF246" s="105"/>
      <c r="AG246" s="105"/>
      <c r="AH246" s="105"/>
      <c r="AI246" s="105"/>
      <c r="AJ246" s="105"/>
      <c r="AK246" s="105"/>
      <c r="AL246" s="105"/>
      <c r="AM246" s="105"/>
    </row>
    <row r="247" spans="1:39" ht="15">
      <c r="A247" s="62" t="s">
        <v>237</v>
      </c>
      <c r="B247" s="62" t="s">
        <v>256</v>
      </c>
      <c r="C247" s="63" t="s">
        <v>3599</v>
      </c>
      <c r="D247" s="64">
        <v>6.315789473684211</v>
      </c>
      <c r="E247" s="65" t="s">
        <v>136</v>
      </c>
      <c r="F247" s="66">
        <v>29.547169811320757</v>
      </c>
      <c r="G247" s="63"/>
      <c r="H247" s="67"/>
      <c r="I247" s="68"/>
      <c r="J247" s="68"/>
      <c r="K247" s="31" t="s">
        <v>65</v>
      </c>
      <c r="L247" s="76">
        <v>247</v>
      </c>
      <c r="M247" s="76"/>
      <c r="N247" s="70"/>
      <c r="O247" s="78" t="s">
        <v>305</v>
      </c>
      <c r="P247" s="78" t="s">
        <v>370</v>
      </c>
      <c r="Q247" s="78" t="s">
        <v>763</v>
      </c>
      <c r="R247" s="78" t="s">
        <v>937</v>
      </c>
      <c r="S247" s="78"/>
      <c r="T247" s="78"/>
      <c r="U247" s="78"/>
      <c r="V247" s="78"/>
      <c r="W247" s="81" t="s">
        <v>1674</v>
      </c>
      <c r="X247" s="81" t="s">
        <v>1674</v>
      </c>
      <c r="Y247" s="78"/>
      <c r="Z247" s="78"/>
      <c r="AA247" s="81" t="s">
        <v>1674</v>
      </c>
      <c r="AB247" s="79">
        <v>6</v>
      </c>
      <c r="AC247" s="80" t="str">
        <f>REPLACE(INDEX(GroupVertices[Group],MATCH("~"&amp;Edges[[#This Row],[Vertex 1]],GroupVertices[Vertex],0)),1,1,"")</f>
        <v>5</v>
      </c>
      <c r="AD247" s="80" t="str">
        <f>REPLACE(INDEX(GroupVertices[Group],MATCH("~"&amp;Edges[[#This Row],[Vertex 2]],GroupVertices[Vertex],0)),1,1,"")</f>
        <v>1</v>
      </c>
      <c r="AE247" s="105"/>
      <c r="AF247" s="105"/>
      <c r="AG247" s="105"/>
      <c r="AH247" s="105"/>
      <c r="AI247" s="105"/>
      <c r="AJ247" s="105"/>
      <c r="AK247" s="105"/>
      <c r="AL247" s="105"/>
      <c r="AM247" s="105"/>
    </row>
    <row r="248" spans="1:39" ht="15">
      <c r="A248" s="62" t="s">
        <v>263</v>
      </c>
      <c r="B248" s="62" t="s">
        <v>237</v>
      </c>
      <c r="C248" s="63" t="s">
        <v>3602</v>
      </c>
      <c r="D248" s="64">
        <v>5.526315789473684</v>
      </c>
      <c r="E248" s="65" t="s">
        <v>136</v>
      </c>
      <c r="F248" s="66">
        <v>31.0188679245283</v>
      </c>
      <c r="G248" s="63"/>
      <c r="H248" s="67"/>
      <c r="I248" s="68"/>
      <c r="J248" s="68"/>
      <c r="K248" s="31" t="s">
        <v>65</v>
      </c>
      <c r="L248" s="76">
        <v>248</v>
      </c>
      <c r="M248" s="76"/>
      <c r="N248" s="70"/>
      <c r="O248" s="78" t="s">
        <v>305</v>
      </c>
      <c r="P248" s="78" t="s">
        <v>382</v>
      </c>
      <c r="Q248" s="78" t="s">
        <v>777</v>
      </c>
      <c r="R248" s="78" t="s">
        <v>1335</v>
      </c>
      <c r="S248" s="78"/>
      <c r="T248" s="78"/>
      <c r="U248" s="78"/>
      <c r="V248" s="78"/>
      <c r="W248" s="81" t="s">
        <v>1674</v>
      </c>
      <c r="X248" s="81" t="s">
        <v>1674</v>
      </c>
      <c r="Y248" s="78"/>
      <c r="Z248" s="78"/>
      <c r="AA248" s="81" t="s">
        <v>1674</v>
      </c>
      <c r="AB248" s="79">
        <v>3</v>
      </c>
      <c r="AC248" s="80" t="str">
        <f>REPLACE(INDEX(GroupVertices[Group],MATCH("~"&amp;Edges[[#This Row],[Vertex 1]],GroupVertices[Vertex],0)),1,1,"")</f>
        <v>3</v>
      </c>
      <c r="AD248" s="80" t="str">
        <f>REPLACE(INDEX(GroupVertices[Group],MATCH("~"&amp;Edges[[#This Row],[Vertex 2]],GroupVertices[Vertex],0)),1,1,"")</f>
        <v>5</v>
      </c>
      <c r="AE248" s="105"/>
      <c r="AF248" s="105"/>
      <c r="AG248" s="105"/>
      <c r="AH248" s="105"/>
      <c r="AI248" s="105"/>
      <c r="AJ248" s="105"/>
      <c r="AK248" s="105"/>
      <c r="AL248" s="105"/>
      <c r="AM248" s="105"/>
    </row>
    <row r="249" spans="1:39" ht="15">
      <c r="A249" s="62" t="s">
        <v>263</v>
      </c>
      <c r="B249" s="62" t="s">
        <v>237</v>
      </c>
      <c r="C249" s="63" t="s">
        <v>3602</v>
      </c>
      <c r="D249" s="64">
        <v>5.526315789473684</v>
      </c>
      <c r="E249" s="65" t="s">
        <v>136</v>
      </c>
      <c r="F249" s="66">
        <v>31.0188679245283</v>
      </c>
      <c r="G249" s="63"/>
      <c r="H249" s="67"/>
      <c r="I249" s="68"/>
      <c r="J249" s="68"/>
      <c r="K249" s="31" t="s">
        <v>65</v>
      </c>
      <c r="L249" s="76">
        <v>249</v>
      </c>
      <c r="M249" s="76"/>
      <c r="N249" s="70"/>
      <c r="O249" s="78" t="s">
        <v>305</v>
      </c>
      <c r="P249" s="78" t="s">
        <v>382</v>
      </c>
      <c r="Q249" s="78" t="s">
        <v>777</v>
      </c>
      <c r="R249" s="78" t="s">
        <v>1336</v>
      </c>
      <c r="S249" s="78"/>
      <c r="T249" s="78"/>
      <c r="U249" s="78"/>
      <c r="V249" s="78"/>
      <c r="W249" s="81" t="s">
        <v>1674</v>
      </c>
      <c r="X249" s="81" t="s">
        <v>1674</v>
      </c>
      <c r="Y249" s="78"/>
      <c r="Z249" s="78"/>
      <c r="AA249" s="81" t="s">
        <v>1674</v>
      </c>
      <c r="AB249" s="79">
        <v>3</v>
      </c>
      <c r="AC249" s="80" t="str">
        <f>REPLACE(INDEX(GroupVertices[Group],MATCH("~"&amp;Edges[[#This Row],[Vertex 1]],GroupVertices[Vertex],0)),1,1,"")</f>
        <v>3</v>
      </c>
      <c r="AD249" s="80" t="str">
        <f>REPLACE(INDEX(GroupVertices[Group],MATCH("~"&amp;Edges[[#This Row],[Vertex 2]],GroupVertices[Vertex],0)),1,1,"")</f>
        <v>5</v>
      </c>
      <c r="AE249" s="105"/>
      <c r="AF249" s="105"/>
      <c r="AG249" s="105"/>
      <c r="AH249" s="105"/>
      <c r="AI249" s="105"/>
      <c r="AJ249" s="105"/>
      <c r="AK249" s="105"/>
      <c r="AL249" s="105"/>
      <c r="AM249" s="105"/>
    </row>
    <row r="250" spans="1:39" ht="15">
      <c r="A250" s="62" t="s">
        <v>263</v>
      </c>
      <c r="B250" s="62" t="s">
        <v>237</v>
      </c>
      <c r="C250" s="63" t="s">
        <v>3602</v>
      </c>
      <c r="D250" s="64">
        <v>5.526315789473684</v>
      </c>
      <c r="E250" s="65" t="s">
        <v>136</v>
      </c>
      <c r="F250" s="66">
        <v>31.0188679245283</v>
      </c>
      <c r="G250" s="63"/>
      <c r="H250" s="67"/>
      <c r="I250" s="68"/>
      <c r="J250" s="68"/>
      <c r="K250" s="31" t="s">
        <v>65</v>
      </c>
      <c r="L250" s="76">
        <v>250</v>
      </c>
      <c r="M250" s="76"/>
      <c r="N250" s="70"/>
      <c r="O250" s="78" t="s">
        <v>305</v>
      </c>
      <c r="P250" s="78" t="s">
        <v>382</v>
      </c>
      <c r="Q250" s="78" t="s">
        <v>777</v>
      </c>
      <c r="R250" s="78" t="s">
        <v>1337</v>
      </c>
      <c r="S250" s="78"/>
      <c r="T250" s="78"/>
      <c r="U250" s="78"/>
      <c r="V250" s="78"/>
      <c r="W250" s="81" t="s">
        <v>1674</v>
      </c>
      <c r="X250" s="81" t="s">
        <v>1674</v>
      </c>
      <c r="Y250" s="78"/>
      <c r="Z250" s="78"/>
      <c r="AA250" s="81" t="s">
        <v>1674</v>
      </c>
      <c r="AB250" s="79">
        <v>3</v>
      </c>
      <c r="AC250" s="80" t="str">
        <f>REPLACE(INDEX(GroupVertices[Group],MATCH("~"&amp;Edges[[#This Row],[Vertex 1]],GroupVertices[Vertex],0)),1,1,"")</f>
        <v>3</v>
      </c>
      <c r="AD250" s="80" t="str">
        <f>REPLACE(INDEX(GroupVertices[Group],MATCH("~"&amp;Edges[[#This Row],[Vertex 2]],GroupVertices[Vertex],0)),1,1,"")</f>
        <v>5</v>
      </c>
      <c r="AE250" s="105"/>
      <c r="AF250" s="105"/>
      <c r="AG250" s="105"/>
      <c r="AH250" s="105"/>
      <c r="AI250" s="105"/>
      <c r="AJ250" s="105"/>
      <c r="AK250" s="105"/>
      <c r="AL250" s="105"/>
      <c r="AM250" s="105"/>
    </row>
    <row r="251" spans="1:39" ht="15">
      <c r="A251" s="62" t="s">
        <v>264</v>
      </c>
      <c r="B251" s="62" t="s">
        <v>237</v>
      </c>
      <c r="C251" s="63" t="s">
        <v>3602</v>
      </c>
      <c r="D251" s="64">
        <v>5.526315789473684</v>
      </c>
      <c r="E251" s="65" t="s">
        <v>136</v>
      </c>
      <c r="F251" s="66">
        <v>31.0188679245283</v>
      </c>
      <c r="G251" s="63"/>
      <c r="H251" s="67"/>
      <c r="I251" s="68"/>
      <c r="J251" s="68"/>
      <c r="K251" s="31" t="s">
        <v>65</v>
      </c>
      <c r="L251" s="76">
        <v>251</v>
      </c>
      <c r="M251" s="76"/>
      <c r="N251" s="70"/>
      <c r="O251" s="78" t="s">
        <v>305</v>
      </c>
      <c r="P251" s="78" t="s">
        <v>383</v>
      </c>
      <c r="Q251" s="78" t="s">
        <v>778</v>
      </c>
      <c r="R251" s="78" t="s">
        <v>1338</v>
      </c>
      <c r="S251" s="78"/>
      <c r="T251" s="78"/>
      <c r="U251" s="78"/>
      <c r="V251" s="78"/>
      <c r="W251" s="81" t="s">
        <v>1674</v>
      </c>
      <c r="X251" s="81" t="s">
        <v>1674</v>
      </c>
      <c r="Y251" s="78"/>
      <c r="Z251" s="78"/>
      <c r="AA251" s="81" t="s">
        <v>1674</v>
      </c>
      <c r="AB251" s="79">
        <v>3</v>
      </c>
      <c r="AC251" s="80" t="str">
        <f>REPLACE(INDEX(GroupVertices[Group],MATCH("~"&amp;Edges[[#This Row],[Vertex 1]],GroupVertices[Vertex],0)),1,1,"")</f>
        <v>3</v>
      </c>
      <c r="AD251" s="80" t="str">
        <f>REPLACE(INDEX(GroupVertices[Group],MATCH("~"&amp;Edges[[#This Row],[Vertex 2]],GroupVertices[Vertex],0)),1,1,"")</f>
        <v>5</v>
      </c>
      <c r="AE251" s="105"/>
      <c r="AF251" s="105"/>
      <c r="AG251" s="105"/>
      <c r="AH251" s="105"/>
      <c r="AI251" s="105"/>
      <c r="AJ251" s="105"/>
      <c r="AK251" s="105"/>
      <c r="AL251" s="105"/>
      <c r="AM251" s="105"/>
    </row>
    <row r="252" spans="1:39" ht="15">
      <c r="A252" s="62" t="s">
        <v>264</v>
      </c>
      <c r="B252" s="62" t="s">
        <v>237</v>
      </c>
      <c r="C252" s="63" t="s">
        <v>3602</v>
      </c>
      <c r="D252" s="64">
        <v>5.526315789473684</v>
      </c>
      <c r="E252" s="65" t="s">
        <v>136</v>
      </c>
      <c r="F252" s="66">
        <v>31.0188679245283</v>
      </c>
      <c r="G252" s="63"/>
      <c r="H252" s="67"/>
      <c r="I252" s="68"/>
      <c r="J252" s="68"/>
      <c r="K252" s="31" t="s">
        <v>65</v>
      </c>
      <c r="L252" s="76">
        <v>252</v>
      </c>
      <c r="M252" s="76"/>
      <c r="N252" s="70"/>
      <c r="O252" s="78" t="s">
        <v>305</v>
      </c>
      <c r="P252" s="78" t="s">
        <v>383</v>
      </c>
      <c r="Q252" s="78" t="s">
        <v>778</v>
      </c>
      <c r="R252" s="78" t="s">
        <v>1339</v>
      </c>
      <c r="S252" s="78"/>
      <c r="T252" s="78"/>
      <c r="U252" s="78"/>
      <c r="V252" s="78"/>
      <c r="W252" s="81" t="s">
        <v>1674</v>
      </c>
      <c r="X252" s="81" t="s">
        <v>1674</v>
      </c>
      <c r="Y252" s="78"/>
      <c r="Z252" s="78"/>
      <c r="AA252" s="81" t="s">
        <v>1674</v>
      </c>
      <c r="AB252" s="79">
        <v>3</v>
      </c>
      <c r="AC252" s="80" t="str">
        <f>REPLACE(INDEX(GroupVertices[Group],MATCH("~"&amp;Edges[[#This Row],[Vertex 1]],GroupVertices[Vertex],0)),1,1,"")</f>
        <v>3</v>
      </c>
      <c r="AD252" s="80" t="str">
        <f>REPLACE(INDEX(GroupVertices[Group],MATCH("~"&amp;Edges[[#This Row],[Vertex 2]],GroupVertices[Vertex],0)),1,1,"")</f>
        <v>5</v>
      </c>
      <c r="AE252" s="105"/>
      <c r="AF252" s="105"/>
      <c r="AG252" s="105"/>
      <c r="AH252" s="105"/>
      <c r="AI252" s="105"/>
      <c r="AJ252" s="105"/>
      <c r="AK252" s="105"/>
      <c r="AL252" s="105"/>
      <c r="AM252" s="105"/>
    </row>
    <row r="253" spans="1:39" ht="15">
      <c r="A253" s="62" t="s">
        <v>264</v>
      </c>
      <c r="B253" s="62" t="s">
        <v>237</v>
      </c>
      <c r="C253" s="63" t="s">
        <v>3602</v>
      </c>
      <c r="D253" s="64">
        <v>5.526315789473684</v>
      </c>
      <c r="E253" s="65" t="s">
        <v>136</v>
      </c>
      <c r="F253" s="66">
        <v>31.0188679245283</v>
      </c>
      <c r="G253" s="63"/>
      <c r="H253" s="67"/>
      <c r="I253" s="68"/>
      <c r="J253" s="68"/>
      <c r="K253" s="31" t="s">
        <v>65</v>
      </c>
      <c r="L253" s="76">
        <v>253</v>
      </c>
      <c r="M253" s="76"/>
      <c r="N253" s="70"/>
      <c r="O253" s="78" t="s">
        <v>305</v>
      </c>
      <c r="P253" s="78" t="s">
        <v>383</v>
      </c>
      <c r="Q253" s="78" t="s">
        <v>778</v>
      </c>
      <c r="R253" s="78" t="s">
        <v>1340</v>
      </c>
      <c r="S253" s="78"/>
      <c r="T253" s="78"/>
      <c r="U253" s="78"/>
      <c r="V253" s="78"/>
      <c r="W253" s="81" t="s">
        <v>1674</v>
      </c>
      <c r="X253" s="81" t="s">
        <v>1674</v>
      </c>
      <c r="Y253" s="78"/>
      <c r="Z253" s="78"/>
      <c r="AA253" s="81" t="s">
        <v>1674</v>
      </c>
      <c r="AB253" s="79">
        <v>3</v>
      </c>
      <c r="AC253" s="80" t="str">
        <f>REPLACE(INDEX(GroupVertices[Group],MATCH("~"&amp;Edges[[#This Row],[Vertex 1]],GroupVertices[Vertex],0)),1,1,"")</f>
        <v>3</v>
      </c>
      <c r="AD253" s="80" t="str">
        <f>REPLACE(INDEX(GroupVertices[Group],MATCH("~"&amp;Edges[[#This Row],[Vertex 2]],GroupVertices[Vertex],0)),1,1,"")</f>
        <v>5</v>
      </c>
      <c r="AE253" s="105"/>
      <c r="AF253" s="105"/>
      <c r="AG253" s="105"/>
      <c r="AH253" s="105"/>
      <c r="AI253" s="105"/>
      <c r="AJ253" s="105"/>
      <c r="AK253" s="105"/>
      <c r="AL253" s="105"/>
      <c r="AM253" s="105"/>
    </row>
    <row r="254" spans="1:39" ht="15">
      <c r="A254" s="62" t="s">
        <v>259</v>
      </c>
      <c r="B254" s="62" t="s">
        <v>237</v>
      </c>
      <c r="C254" s="63" t="s">
        <v>3598</v>
      </c>
      <c r="D254" s="64">
        <v>5</v>
      </c>
      <c r="E254" s="65" t="s">
        <v>132</v>
      </c>
      <c r="F254" s="66">
        <v>32</v>
      </c>
      <c r="G254" s="63"/>
      <c r="H254" s="67"/>
      <c r="I254" s="68"/>
      <c r="J254" s="68"/>
      <c r="K254" s="31" t="s">
        <v>65</v>
      </c>
      <c r="L254" s="76">
        <v>254</v>
      </c>
      <c r="M254" s="76"/>
      <c r="N254" s="70"/>
      <c r="O254" s="78" t="s">
        <v>305</v>
      </c>
      <c r="P254" s="78" t="s">
        <v>384</v>
      </c>
      <c r="Q254" s="78" t="s">
        <v>779</v>
      </c>
      <c r="R254" s="78" t="s">
        <v>1341</v>
      </c>
      <c r="S254" s="78"/>
      <c r="T254" s="78"/>
      <c r="U254" s="78"/>
      <c r="V254" s="78"/>
      <c r="W254" s="81" t="s">
        <v>1674</v>
      </c>
      <c r="X254" s="81" t="s">
        <v>1674</v>
      </c>
      <c r="Y254" s="78"/>
      <c r="Z254" s="78"/>
      <c r="AA254" s="81" t="s">
        <v>1674</v>
      </c>
      <c r="AB254" s="79">
        <v>1</v>
      </c>
      <c r="AC254" s="80" t="str">
        <f>REPLACE(INDEX(GroupVertices[Group],MATCH("~"&amp;Edges[[#This Row],[Vertex 1]],GroupVertices[Vertex],0)),1,1,"")</f>
        <v>1</v>
      </c>
      <c r="AD254" s="80" t="str">
        <f>REPLACE(INDEX(GroupVertices[Group],MATCH("~"&amp;Edges[[#This Row],[Vertex 2]],GroupVertices[Vertex],0)),1,1,"")</f>
        <v>5</v>
      </c>
      <c r="AE254" s="105"/>
      <c r="AF254" s="105"/>
      <c r="AG254" s="105"/>
      <c r="AH254" s="105"/>
      <c r="AI254" s="105"/>
      <c r="AJ254" s="105"/>
      <c r="AK254" s="105"/>
      <c r="AL254" s="105"/>
      <c r="AM254" s="105"/>
    </row>
    <row r="255" spans="1:39" ht="15">
      <c r="A255" s="62" t="s">
        <v>265</v>
      </c>
      <c r="B255" s="62" t="s">
        <v>237</v>
      </c>
      <c r="C255" s="63" t="s">
        <v>3598</v>
      </c>
      <c r="D255" s="64">
        <v>5.2631578947368425</v>
      </c>
      <c r="E255" s="65" t="s">
        <v>136</v>
      </c>
      <c r="F255" s="66">
        <v>31.50943396226415</v>
      </c>
      <c r="G255" s="63"/>
      <c r="H255" s="67"/>
      <c r="I255" s="68"/>
      <c r="J255" s="68"/>
      <c r="K255" s="31" t="s">
        <v>65</v>
      </c>
      <c r="L255" s="76">
        <v>255</v>
      </c>
      <c r="M255" s="76"/>
      <c r="N255" s="70"/>
      <c r="O255" s="78" t="s">
        <v>305</v>
      </c>
      <c r="P255" s="78" t="s">
        <v>385</v>
      </c>
      <c r="Q255" s="78" t="s">
        <v>780</v>
      </c>
      <c r="R255" s="78" t="s">
        <v>1342</v>
      </c>
      <c r="S255" s="78"/>
      <c r="T255" s="78"/>
      <c r="U255" s="78"/>
      <c r="V255" s="78"/>
      <c r="W255" s="81" t="s">
        <v>1674</v>
      </c>
      <c r="X255" s="81" t="s">
        <v>1674</v>
      </c>
      <c r="Y255" s="78"/>
      <c r="Z255" s="78"/>
      <c r="AA255" s="81" t="s">
        <v>1674</v>
      </c>
      <c r="AB255" s="79">
        <v>2</v>
      </c>
      <c r="AC255" s="80" t="str">
        <f>REPLACE(INDEX(GroupVertices[Group],MATCH("~"&amp;Edges[[#This Row],[Vertex 1]],GroupVertices[Vertex],0)),1,1,"")</f>
        <v>3</v>
      </c>
      <c r="AD255" s="80" t="str">
        <f>REPLACE(INDEX(GroupVertices[Group],MATCH("~"&amp;Edges[[#This Row],[Vertex 2]],GroupVertices[Vertex],0)),1,1,"")</f>
        <v>5</v>
      </c>
      <c r="AE255" s="105"/>
      <c r="AF255" s="105"/>
      <c r="AG255" s="105"/>
      <c r="AH255" s="105"/>
      <c r="AI255" s="105"/>
      <c r="AJ255" s="105"/>
      <c r="AK255" s="105"/>
      <c r="AL255" s="105"/>
      <c r="AM255" s="105"/>
    </row>
    <row r="256" spans="1:39" ht="15">
      <c r="A256" s="62" t="s">
        <v>265</v>
      </c>
      <c r="B256" s="62" t="s">
        <v>237</v>
      </c>
      <c r="C256" s="63" t="s">
        <v>3598</v>
      </c>
      <c r="D256" s="64">
        <v>5.2631578947368425</v>
      </c>
      <c r="E256" s="65" t="s">
        <v>136</v>
      </c>
      <c r="F256" s="66">
        <v>31.50943396226415</v>
      </c>
      <c r="G256" s="63"/>
      <c r="H256" s="67"/>
      <c r="I256" s="68"/>
      <c r="J256" s="68"/>
      <c r="K256" s="31" t="s">
        <v>65</v>
      </c>
      <c r="L256" s="76">
        <v>256</v>
      </c>
      <c r="M256" s="76"/>
      <c r="N256" s="70"/>
      <c r="O256" s="78" t="s">
        <v>305</v>
      </c>
      <c r="P256" s="78" t="s">
        <v>385</v>
      </c>
      <c r="Q256" s="78" t="s">
        <v>780</v>
      </c>
      <c r="R256" s="78" t="s">
        <v>1343</v>
      </c>
      <c r="S256" s="78"/>
      <c r="T256" s="78"/>
      <c r="U256" s="78"/>
      <c r="V256" s="78"/>
      <c r="W256" s="81" t="s">
        <v>1674</v>
      </c>
      <c r="X256" s="81" t="s">
        <v>1674</v>
      </c>
      <c r="Y256" s="78"/>
      <c r="Z256" s="78"/>
      <c r="AA256" s="81" t="s">
        <v>1674</v>
      </c>
      <c r="AB256" s="79">
        <v>2</v>
      </c>
      <c r="AC256" s="80" t="str">
        <f>REPLACE(INDEX(GroupVertices[Group],MATCH("~"&amp;Edges[[#This Row],[Vertex 1]],GroupVertices[Vertex],0)),1,1,"")</f>
        <v>3</v>
      </c>
      <c r="AD256" s="80" t="str">
        <f>REPLACE(INDEX(GroupVertices[Group],MATCH("~"&amp;Edges[[#This Row],[Vertex 2]],GroupVertices[Vertex],0)),1,1,"")</f>
        <v>5</v>
      </c>
      <c r="AE256" s="105"/>
      <c r="AF256" s="105"/>
      <c r="AG256" s="105"/>
      <c r="AH256" s="105"/>
      <c r="AI256" s="105"/>
      <c r="AJ256" s="105"/>
      <c r="AK256" s="105"/>
      <c r="AL256" s="105"/>
      <c r="AM256" s="105"/>
    </row>
    <row r="257" spans="1:39" ht="15">
      <c r="A257" s="62" t="s">
        <v>235</v>
      </c>
      <c r="B257" s="62" t="s">
        <v>237</v>
      </c>
      <c r="C257" s="63" t="s">
        <v>3598</v>
      </c>
      <c r="D257" s="64">
        <v>5</v>
      </c>
      <c r="E257" s="65" t="s">
        <v>132</v>
      </c>
      <c r="F257" s="66">
        <v>32</v>
      </c>
      <c r="G257" s="63"/>
      <c r="H257" s="67"/>
      <c r="I257" s="68"/>
      <c r="J257" s="68"/>
      <c r="K257" s="31" t="s">
        <v>65</v>
      </c>
      <c r="L257" s="76">
        <v>257</v>
      </c>
      <c r="M257" s="76"/>
      <c r="N257" s="70"/>
      <c r="O257" s="78" t="s">
        <v>305</v>
      </c>
      <c r="P257" s="78" t="s">
        <v>386</v>
      </c>
      <c r="Q257" s="78" t="s">
        <v>781</v>
      </c>
      <c r="R257" s="78" t="s">
        <v>1344</v>
      </c>
      <c r="S257" s="78"/>
      <c r="T257" s="78" t="s">
        <v>1662</v>
      </c>
      <c r="U257" s="78"/>
      <c r="V257" s="78" t="s">
        <v>1670</v>
      </c>
      <c r="W257" s="81" t="s">
        <v>1674</v>
      </c>
      <c r="X257" s="81" t="s">
        <v>1674</v>
      </c>
      <c r="Y257" s="78" t="s">
        <v>1681</v>
      </c>
      <c r="Z257" s="78" t="s">
        <v>1710</v>
      </c>
      <c r="AA257" s="81" t="s">
        <v>1674</v>
      </c>
      <c r="AB257" s="79">
        <v>1</v>
      </c>
      <c r="AC257" s="80" t="str">
        <f>REPLACE(INDEX(GroupVertices[Group],MATCH("~"&amp;Edges[[#This Row],[Vertex 1]],GroupVertices[Vertex],0)),1,1,"")</f>
        <v>1</v>
      </c>
      <c r="AD257" s="80" t="str">
        <f>REPLACE(INDEX(GroupVertices[Group],MATCH("~"&amp;Edges[[#This Row],[Vertex 2]],GroupVertices[Vertex],0)),1,1,"")</f>
        <v>5</v>
      </c>
      <c r="AE257" s="105"/>
      <c r="AF257" s="105"/>
      <c r="AG257" s="105"/>
      <c r="AH257" s="105"/>
      <c r="AI257" s="105"/>
      <c r="AJ257" s="105"/>
      <c r="AK257" s="105"/>
      <c r="AL257" s="105"/>
      <c r="AM257" s="105"/>
    </row>
    <row r="258" spans="1:39" ht="15">
      <c r="A258" s="62" t="s">
        <v>247</v>
      </c>
      <c r="B258" s="62" t="s">
        <v>237</v>
      </c>
      <c r="C258" s="63" t="s">
        <v>3605</v>
      </c>
      <c r="D258" s="64">
        <v>8.157894736842106</v>
      </c>
      <c r="E258" s="65" t="s">
        <v>136</v>
      </c>
      <c r="F258" s="66">
        <v>26.11320754716981</v>
      </c>
      <c r="G258" s="63"/>
      <c r="H258" s="67"/>
      <c r="I258" s="68"/>
      <c r="J258" s="68"/>
      <c r="K258" s="31" t="s">
        <v>65</v>
      </c>
      <c r="L258" s="76">
        <v>258</v>
      </c>
      <c r="M258" s="76"/>
      <c r="N258" s="70"/>
      <c r="O258" s="78" t="s">
        <v>305</v>
      </c>
      <c r="P258" s="78" t="s">
        <v>387</v>
      </c>
      <c r="Q258" s="78" t="s">
        <v>782</v>
      </c>
      <c r="R258" s="78" t="s">
        <v>1345</v>
      </c>
      <c r="S258" s="78"/>
      <c r="T258" s="78"/>
      <c r="U258" s="78"/>
      <c r="V258" s="78"/>
      <c r="W258" s="81" t="s">
        <v>1674</v>
      </c>
      <c r="X258" s="81" t="s">
        <v>1674</v>
      </c>
      <c r="Y258" s="78"/>
      <c r="Z258" s="78"/>
      <c r="AA258" s="81" t="s">
        <v>1674</v>
      </c>
      <c r="AB258" s="79">
        <v>13</v>
      </c>
      <c r="AC258" s="80" t="str">
        <f>REPLACE(INDEX(GroupVertices[Group],MATCH("~"&amp;Edges[[#This Row],[Vertex 1]],GroupVertices[Vertex],0)),1,1,"")</f>
        <v>2</v>
      </c>
      <c r="AD258" s="80" t="str">
        <f>REPLACE(INDEX(GroupVertices[Group],MATCH("~"&amp;Edges[[#This Row],[Vertex 2]],GroupVertices[Vertex],0)),1,1,"")</f>
        <v>5</v>
      </c>
      <c r="AE258" s="105"/>
      <c r="AF258" s="105"/>
      <c r="AG258" s="105"/>
      <c r="AH258" s="105"/>
      <c r="AI258" s="105"/>
      <c r="AJ258" s="105"/>
      <c r="AK258" s="105"/>
      <c r="AL258" s="105"/>
      <c r="AM258" s="105"/>
    </row>
    <row r="259" spans="1:39" ht="15">
      <c r="A259" s="62" t="s">
        <v>247</v>
      </c>
      <c r="B259" s="62" t="s">
        <v>237</v>
      </c>
      <c r="C259" s="63" t="s">
        <v>3605</v>
      </c>
      <c r="D259" s="64">
        <v>8.157894736842106</v>
      </c>
      <c r="E259" s="65" t="s">
        <v>136</v>
      </c>
      <c r="F259" s="66">
        <v>26.11320754716981</v>
      </c>
      <c r="G259" s="63"/>
      <c r="H259" s="67"/>
      <c r="I259" s="68"/>
      <c r="J259" s="68"/>
      <c r="K259" s="31" t="s">
        <v>65</v>
      </c>
      <c r="L259" s="76">
        <v>259</v>
      </c>
      <c r="M259" s="76"/>
      <c r="N259" s="70"/>
      <c r="O259" s="78" t="s">
        <v>305</v>
      </c>
      <c r="P259" s="78" t="s">
        <v>387</v>
      </c>
      <c r="Q259" s="78" t="s">
        <v>782</v>
      </c>
      <c r="R259" s="78" t="s">
        <v>1346</v>
      </c>
      <c r="S259" s="78"/>
      <c r="T259" s="78"/>
      <c r="U259" s="78"/>
      <c r="V259" s="78"/>
      <c r="W259" s="81" t="s">
        <v>1674</v>
      </c>
      <c r="X259" s="81" t="s">
        <v>1674</v>
      </c>
      <c r="Y259" s="78"/>
      <c r="Z259" s="78"/>
      <c r="AA259" s="81" t="s">
        <v>1674</v>
      </c>
      <c r="AB259" s="79">
        <v>13</v>
      </c>
      <c r="AC259" s="80" t="str">
        <f>REPLACE(INDEX(GroupVertices[Group],MATCH("~"&amp;Edges[[#This Row],[Vertex 1]],GroupVertices[Vertex],0)),1,1,"")</f>
        <v>2</v>
      </c>
      <c r="AD259" s="80" t="str">
        <f>REPLACE(INDEX(GroupVertices[Group],MATCH("~"&amp;Edges[[#This Row],[Vertex 2]],GroupVertices[Vertex],0)),1,1,"")</f>
        <v>5</v>
      </c>
      <c r="AE259" s="105"/>
      <c r="AF259" s="105"/>
      <c r="AG259" s="105"/>
      <c r="AH259" s="105"/>
      <c r="AI259" s="105"/>
      <c r="AJ259" s="105"/>
      <c r="AK259" s="105"/>
      <c r="AL259" s="105"/>
      <c r="AM259" s="105"/>
    </row>
    <row r="260" spans="1:39" ht="15">
      <c r="A260" s="62" t="s">
        <v>247</v>
      </c>
      <c r="B260" s="62" t="s">
        <v>237</v>
      </c>
      <c r="C260" s="63" t="s">
        <v>3605</v>
      </c>
      <c r="D260" s="64">
        <v>8.157894736842106</v>
      </c>
      <c r="E260" s="65" t="s">
        <v>136</v>
      </c>
      <c r="F260" s="66">
        <v>26.11320754716981</v>
      </c>
      <c r="G260" s="63"/>
      <c r="H260" s="67"/>
      <c r="I260" s="68"/>
      <c r="J260" s="68"/>
      <c r="K260" s="31" t="s">
        <v>65</v>
      </c>
      <c r="L260" s="76">
        <v>260</v>
      </c>
      <c r="M260" s="76"/>
      <c r="N260" s="70"/>
      <c r="O260" s="78" t="s">
        <v>305</v>
      </c>
      <c r="P260" s="78" t="s">
        <v>387</v>
      </c>
      <c r="Q260" s="78" t="s">
        <v>783</v>
      </c>
      <c r="R260" s="78" t="s">
        <v>1345</v>
      </c>
      <c r="S260" s="78"/>
      <c r="T260" s="78"/>
      <c r="U260" s="78"/>
      <c r="V260" s="78"/>
      <c r="W260" s="81" t="s">
        <v>1674</v>
      </c>
      <c r="X260" s="81" t="s">
        <v>1674</v>
      </c>
      <c r="Y260" s="78"/>
      <c r="Z260" s="78"/>
      <c r="AA260" s="81" t="s">
        <v>1674</v>
      </c>
      <c r="AB260" s="79">
        <v>13</v>
      </c>
      <c r="AC260" s="80" t="str">
        <f>REPLACE(INDEX(GroupVertices[Group],MATCH("~"&amp;Edges[[#This Row],[Vertex 1]],GroupVertices[Vertex],0)),1,1,"")</f>
        <v>2</v>
      </c>
      <c r="AD260" s="80" t="str">
        <f>REPLACE(INDEX(GroupVertices[Group],MATCH("~"&amp;Edges[[#This Row],[Vertex 2]],GroupVertices[Vertex],0)),1,1,"")</f>
        <v>5</v>
      </c>
      <c r="AE260" s="105"/>
      <c r="AF260" s="105"/>
      <c r="AG260" s="105"/>
      <c r="AH260" s="105"/>
      <c r="AI260" s="105"/>
      <c r="AJ260" s="105"/>
      <c r="AK260" s="105"/>
      <c r="AL260" s="105"/>
      <c r="AM260" s="105"/>
    </row>
    <row r="261" spans="1:39" ht="15">
      <c r="A261" s="62" t="s">
        <v>247</v>
      </c>
      <c r="B261" s="62" t="s">
        <v>237</v>
      </c>
      <c r="C261" s="63" t="s">
        <v>3605</v>
      </c>
      <c r="D261" s="64">
        <v>8.157894736842106</v>
      </c>
      <c r="E261" s="65" t="s">
        <v>136</v>
      </c>
      <c r="F261" s="66">
        <v>26.11320754716981</v>
      </c>
      <c r="G261" s="63"/>
      <c r="H261" s="67"/>
      <c r="I261" s="68"/>
      <c r="J261" s="68"/>
      <c r="K261" s="31" t="s">
        <v>65</v>
      </c>
      <c r="L261" s="76">
        <v>261</v>
      </c>
      <c r="M261" s="76"/>
      <c r="N261" s="70"/>
      <c r="O261" s="78" t="s">
        <v>305</v>
      </c>
      <c r="P261" s="78" t="s">
        <v>387</v>
      </c>
      <c r="Q261" s="78" t="s">
        <v>783</v>
      </c>
      <c r="R261" s="78" t="s">
        <v>1346</v>
      </c>
      <c r="S261" s="78"/>
      <c r="T261" s="78"/>
      <c r="U261" s="78"/>
      <c r="V261" s="78"/>
      <c r="W261" s="81" t="s">
        <v>1674</v>
      </c>
      <c r="X261" s="81" t="s">
        <v>1674</v>
      </c>
      <c r="Y261" s="78"/>
      <c r="Z261" s="78"/>
      <c r="AA261" s="81" t="s">
        <v>1674</v>
      </c>
      <c r="AB261" s="79">
        <v>13</v>
      </c>
      <c r="AC261" s="80" t="str">
        <f>REPLACE(INDEX(GroupVertices[Group],MATCH("~"&amp;Edges[[#This Row],[Vertex 1]],GroupVertices[Vertex],0)),1,1,"")</f>
        <v>2</v>
      </c>
      <c r="AD261" s="80" t="str">
        <f>REPLACE(INDEX(GroupVertices[Group],MATCH("~"&amp;Edges[[#This Row],[Vertex 2]],GroupVertices[Vertex],0)),1,1,"")</f>
        <v>5</v>
      </c>
      <c r="AE261" s="105"/>
      <c r="AF261" s="105"/>
      <c r="AG261" s="105"/>
      <c r="AH261" s="105"/>
      <c r="AI261" s="105"/>
      <c r="AJ261" s="105"/>
      <c r="AK261" s="105"/>
      <c r="AL261" s="105"/>
      <c r="AM261" s="105"/>
    </row>
    <row r="262" spans="1:39" ht="15">
      <c r="A262" s="62" t="s">
        <v>247</v>
      </c>
      <c r="B262" s="62" t="s">
        <v>237</v>
      </c>
      <c r="C262" s="63" t="s">
        <v>3605</v>
      </c>
      <c r="D262" s="64">
        <v>8.157894736842106</v>
      </c>
      <c r="E262" s="65" t="s">
        <v>136</v>
      </c>
      <c r="F262" s="66">
        <v>26.11320754716981</v>
      </c>
      <c r="G262" s="63"/>
      <c r="H262" s="67"/>
      <c r="I262" s="68"/>
      <c r="J262" s="68"/>
      <c r="K262" s="31" t="s">
        <v>65</v>
      </c>
      <c r="L262" s="76">
        <v>262</v>
      </c>
      <c r="M262" s="76"/>
      <c r="N262" s="70"/>
      <c r="O262" s="78" t="s">
        <v>305</v>
      </c>
      <c r="P262" s="78" t="s">
        <v>388</v>
      </c>
      <c r="Q262" s="78" t="s">
        <v>784</v>
      </c>
      <c r="R262" s="78" t="s">
        <v>1347</v>
      </c>
      <c r="S262" s="78"/>
      <c r="T262" s="78"/>
      <c r="U262" s="78"/>
      <c r="V262" s="78"/>
      <c r="W262" s="81" t="s">
        <v>1674</v>
      </c>
      <c r="X262" s="81" t="s">
        <v>1674</v>
      </c>
      <c r="Y262" s="78"/>
      <c r="Z262" s="78"/>
      <c r="AA262" s="81" t="s">
        <v>1674</v>
      </c>
      <c r="AB262" s="79">
        <v>13</v>
      </c>
      <c r="AC262" s="80" t="str">
        <f>REPLACE(INDEX(GroupVertices[Group],MATCH("~"&amp;Edges[[#This Row],[Vertex 1]],GroupVertices[Vertex],0)),1,1,"")</f>
        <v>2</v>
      </c>
      <c r="AD262" s="80" t="str">
        <f>REPLACE(INDEX(GroupVertices[Group],MATCH("~"&amp;Edges[[#This Row],[Vertex 2]],GroupVertices[Vertex],0)),1,1,"")</f>
        <v>5</v>
      </c>
      <c r="AE262" s="105"/>
      <c r="AF262" s="105"/>
      <c r="AG262" s="105"/>
      <c r="AH262" s="105"/>
      <c r="AI262" s="105"/>
      <c r="AJ262" s="105"/>
      <c r="AK262" s="105"/>
      <c r="AL262" s="105"/>
      <c r="AM262" s="105"/>
    </row>
    <row r="263" spans="1:39" ht="15">
      <c r="A263" s="62" t="s">
        <v>247</v>
      </c>
      <c r="B263" s="62" t="s">
        <v>237</v>
      </c>
      <c r="C263" s="63" t="s">
        <v>3605</v>
      </c>
      <c r="D263" s="64">
        <v>8.157894736842106</v>
      </c>
      <c r="E263" s="65" t="s">
        <v>136</v>
      </c>
      <c r="F263" s="66">
        <v>26.11320754716981</v>
      </c>
      <c r="G263" s="63"/>
      <c r="H263" s="67"/>
      <c r="I263" s="68"/>
      <c r="J263" s="68"/>
      <c r="K263" s="31" t="s">
        <v>65</v>
      </c>
      <c r="L263" s="76">
        <v>263</v>
      </c>
      <c r="M263" s="76"/>
      <c r="N263" s="70"/>
      <c r="O263" s="78" t="s">
        <v>305</v>
      </c>
      <c r="P263" s="78" t="s">
        <v>388</v>
      </c>
      <c r="Q263" s="78" t="s">
        <v>784</v>
      </c>
      <c r="R263" s="78" t="s">
        <v>1348</v>
      </c>
      <c r="S263" s="78"/>
      <c r="T263" s="78"/>
      <c r="U263" s="78"/>
      <c r="V263" s="78"/>
      <c r="W263" s="81" t="s">
        <v>1674</v>
      </c>
      <c r="X263" s="81" t="s">
        <v>1674</v>
      </c>
      <c r="Y263" s="78"/>
      <c r="Z263" s="78"/>
      <c r="AA263" s="81" t="s">
        <v>1674</v>
      </c>
      <c r="AB263" s="79">
        <v>13</v>
      </c>
      <c r="AC263" s="80" t="str">
        <f>REPLACE(INDEX(GroupVertices[Group],MATCH("~"&amp;Edges[[#This Row],[Vertex 1]],GroupVertices[Vertex],0)),1,1,"")</f>
        <v>2</v>
      </c>
      <c r="AD263" s="80" t="str">
        <f>REPLACE(INDEX(GroupVertices[Group],MATCH("~"&amp;Edges[[#This Row],[Vertex 2]],GroupVertices[Vertex],0)),1,1,"")</f>
        <v>5</v>
      </c>
      <c r="AE263" s="105"/>
      <c r="AF263" s="105"/>
      <c r="AG263" s="105"/>
      <c r="AH263" s="105"/>
      <c r="AI263" s="105"/>
      <c r="AJ263" s="105"/>
      <c r="AK263" s="105"/>
      <c r="AL263" s="105"/>
      <c r="AM263" s="105"/>
    </row>
    <row r="264" spans="1:39" ht="15">
      <c r="A264" s="62" t="s">
        <v>247</v>
      </c>
      <c r="B264" s="62" t="s">
        <v>237</v>
      </c>
      <c r="C264" s="63" t="s">
        <v>3605</v>
      </c>
      <c r="D264" s="64">
        <v>8.157894736842106</v>
      </c>
      <c r="E264" s="65" t="s">
        <v>136</v>
      </c>
      <c r="F264" s="66">
        <v>26.11320754716981</v>
      </c>
      <c r="G264" s="63"/>
      <c r="H264" s="67"/>
      <c r="I264" s="68"/>
      <c r="J264" s="68"/>
      <c r="K264" s="31" t="s">
        <v>65</v>
      </c>
      <c r="L264" s="76">
        <v>264</v>
      </c>
      <c r="M264" s="76"/>
      <c r="N264" s="70"/>
      <c r="O264" s="78" t="s">
        <v>305</v>
      </c>
      <c r="P264" s="78" t="s">
        <v>389</v>
      </c>
      <c r="Q264" s="78" t="s">
        <v>785</v>
      </c>
      <c r="R264" s="78" t="s">
        <v>1349</v>
      </c>
      <c r="S264" s="78"/>
      <c r="T264" s="78"/>
      <c r="U264" s="78"/>
      <c r="V264" s="78"/>
      <c r="W264" s="81" t="s">
        <v>1674</v>
      </c>
      <c r="X264" s="81" t="s">
        <v>1674</v>
      </c>
      <c r="Y264" s="78"/>
      <c r="Z264" s="78"/>
      <c r="AA264" s="81" t="s">
        <v>1674</v>
      </c>
      <c r="AB264" s="79">
        <v>13</v>
      </c>
      <c r="AC264" s="80" t="str">
        <f>REPLACE(INDEX(GroupVertices[Group],MATCH("~"&amp;Edges[[#This Row],[Vertex 1]],GroupVertices[Vertex],0)),1,1,"")</f>
        <v>2</v>
      </c>
      <c r="AD264" s="80" t="str">
        <f>REPLACE(INDEX(GroupVertices[Group],MATCH("~"&amp;Edges[[#This Row],[Vertex 2]],GroupVertices[Vertex],0)),1,1,"")</f>
        <v>5</v>
      </c>
      <c r="AE264" s="105"/>
      <c r="AF264" s="105"/>
      <c r="AG264" s="105"/>
      <c r="AH264" s="105"/>
      <c r="AI264" s="105"/>
      <c r="AJ264" s="105"/>
      <c r="AK264" s="105"/>
      <c r="AL264" s="105"/>
      <c r="AM264" s="105"/>
    </row>
    <row r="265" spans="1:39" ht="15">
      <c r="A265" s="62" t="s">
        <v>247</v>
      </c>
      <c r="B265" s="62" t="s">
        <v>237</v>
      </c>
      <c r="C265" s="63" t="s">
        <v>3605</v>
      </c>
      <c r="D265" s="64">
        <v>8.157894736842106</v>
      </c>
      <c r="E265" s="65" t="s">
        <v>136</v>
      </c>
      <c r="F265" s="66">
        <v>26.11320754716981</v>
      </c>
      <c r="G265" s="63"/>
      <c r="H265" s="67"/>
      <c r="I265" s="68"/>
      <c r="J265" s="68"/>
      <c r="K265" s="31" t="s">
        <v>65</v>
      </c>
      <c r="L265" s="76">
        <v>265</v>
      </c>
      <c r="M265" s="76"/>
      <c r="N265" s="70"/>
      <c r="O265" s="78" t="s">
        <v>305</v>
      </c>
      <c r="P265" s="78" t="s">
        <v>389</v>
      </c>
      <c r="Q265" s="78" t="s">
        <v>785</v>
      </c>
      <c r="R265" s="78" t="s">
        <v>1350</v>
      </c>
      <c r="S265" s="78"/>
      <c r="T265" s="78"/>
      <c r="U265" s="78"/>
      <c r="V265" s="78"/>
      <c r="W265" s="81" t="s">
        <v>1674</v>
      </c>
      <c r="X265" s="81" t="s">
        <v>1674</v>
      </c>
      <c r="Y265" s="78"/>
      <c r="Z265" s="78"/>
      <c r="AA265" s="81" t="s">
        <v>1674</v>
      </c>
      <c r="AB265" s="79">
        <v>13</v>
      </c>
      <c r="AC265" s="80" t="str">
        <f>REPLACE(INDEX(GroupVertices[Group],MATCH("~"&amp;Edges[[#This Row],[Vertex 1]],GroupVertices[Vertex],0)),1,1,"")</f>
        <v>2</v>
      </c>
      <c r="AD265" s="80" t="str">
        <f>REPLACE(INDEX(GroupVertices[Group],MATCH("~"&amp;Edges[[#This Row],[Vertex 2]],GroupVertices[Vertex],0)),1,1,"")</f>
        <v>5</v>
      </c>
      <c r="AE265" s="105"/>
      <c r="AF265" s="105"/>
      <c r="AG265" s="105"/>
      <c r="AH265" s="105"/>
      <c r="AI265" s="105"/>
      <c r="AJ265" s="105"/>
      <c r="AK265" s="105"/>
      <c r="AL265" s="105"/>
      <c r="AM265" s="105"/>
    </row>
    <row r="266" spans="1:39" ht="15">
      <c r="A266" s="62" t="s">
        <v>247</v>
      </c>
      <c r="B266" s="62" t="s">
        <v>237</v>
      </c>
      <c r="C266" s="63" t="s">
        <v>3605</v>
      </c>
      <c r="D266" s="64">
        <v>8.157894736842106</v>
      </c>
      <c r="E266" s="65" t="s">
        <v>136</v>
      </c>
      <c r="F266" s="66">
        <v>26.11320754716981</v>
      </c>
      <c r="G266" s="63"/>
      <c r="H266" s="67"/>
      <c r="I266" s="68"/>
      <c r="J266" s="68"/>
      <c r="K266" s="31" t="s">
        <v>65</v>
      </c>
      <c r="L266" s="76">
        <v>266</v>
      </c>
      <c r="M266" s="76"/>
      <c r="N266" s="70"/>
      <c r="O266" s="78" t="s">
        <v>305</v>
      </c>
      <c r="P266" s="78" t="s">
        <v>387</v>
      </c>
      <c r="Q266" s="78" t="s">
        <v>786</v>
      </c>
      <c r="R266" s="78" t="s">
        <v>1345</v>
      </c>
      <c r="S266" s="78"/>
      <c r="T266" s="78"/>
      <c r="U266" s="78"/>
      <c r="V266" s="78"/>
      <c r="W266" s="81" t="s">
        <v>1674</v>
      </c>
      <c r="X266" s="81" t="s">
        <v>1674</v>
      </c>
      <c r="Y266" s="78"/>
      <c r="Z266" s="78"/>
      <c r="AA266" s="81" t="s">
        <v>1674</v>
      </c>
      <c r="AB266" s="79">
        <v>13</v>
      </c>
      <c r="AC266" s="80" t="str">
        <f>REPLACE(INDEX(GroupVertices[Group],MATCH("~"&amp;Edges[[#This Row],[Vertex 1]],GroupVertices[Vertex],0)),1,1,"")</f>
        <v>2</v>
      </c>
      <c r="AD266" s="80" t="str">
        <f>REPLACE(INDEX(GroupVertices[Group],MATCH("~"&amp;Edges[[#This Row],[Vertex 2]],GroupVertices[Vertex],0)),1,1,"")</f>
        <v>5</v>
      </c>
      <c r="AE266" s="105"/>
      <c r="AF266" s="105"/>
      <c r="AG266" s="105"/>
      <c r="AH266" s="105"/>
      <c r="AI266" s="105"/>
      <c r="AJ266" s="105"/>
      <c r="AK266" s="105"/>
      <c r="AL266" s="105"/>
      <c r="AM266" s="105"/>
    </row>
    <row r="267" spans="1:39" ht="15">
      <c r="A267" s="62" t="s">
        <v>247</v>
      </c>
      <c r="B267" s="62" t="s">
        <v>237</v>
      </c>
      <c r="C267" s="63" t="s">
        <v>3605</v>
      </c>
      <c r="D267" s="64">
        <v>8.157894736842106</v>
      </c>
      <c r="E267" s="65" t="s">
        <v>136</v>
      </c>
      <c r="F267" s="66">
        <v>26.11320754716981</v>
      </c>
      <c r="G267" s="63"/>
      <c r="H267" s="67"/>
      <c r="I267" s="68"/>
      <c r="J267" s="68"/>
      <c r="K267" s="31" t="s">
        <v>65</v>
      </c>
      <c r="L267" s="76">
        <v>267</v>
      </c>
      <c r="M267" s="76"/>
      <c r="N267" s="70"/>
      <c r="O267" s="78" t="s">
        <v>305</v>
      </c>
      <c r="P267" s="78" t="s">
        <v>387</v>
      </c>
      <c r="Q267" s="78" t="s">
        <v>786</v>
      </c>
      <c r="R267" s="78" t="s">
        <v>1346</v>
      </c>
      <c r="S267" s="78"/>
      <c r="T267" s="78"/>
      <c r="U267" s="78"/>
      <c r="V267" s="78"/>
      <c r="W267" s="81" t="s">
        <v>1674</v>
      </c>
      <c r="X267" s="81" t="s">
        <v>1674</v>
      </c>
      <c r="Y267" s="78"/>
      <c r="Z267" s="78"/>
      <c r="AA267" s="81" t="s">
        <v>1674</v>
      </c>
      <c r="AB267" s="79">
        <v>13</v>
      </c>
      <c r="AC267" s="80" t="str">
        <f>REPLACE(INDEX(GroupVertices[Group],MATCH("~"&amp;Edges[[#This Row],[Vertex 1]],GroupVertices[Vertex],0)),1,1,"")</f>
        <v>2</v>
      </c>
      <c r="AD267" s="80" t="str">
        <f>REPLACE(INDEX(GroupVertices[Group],MATCH("~"&amp;Edges[[#This Row],[Vertex 2]],GroupVertices[Vertex],0)),1,1,"")</f>
        <v>5</v>
      </c>
      <c r="AE267" s="105"/>
      <c r="AF267" s="105"/>
      <c r="AG267" s="105"/>
      <c r="AH267" s="105"/>
      <c r="AI267" s="105"/>
      <c r="AJ267" s="105"/>
      <c r="AK267" s="105"/>
      <c r="AL267" s="105"/>
      <c r="AM267" s="105"/>
    </row>
    <row r="268" spans="1:39" ht="15">
      <c r="A268" s="62" t="s">
        <v>247</v>
      </c>
      <c r="B268" s="62" t="s">
        <v>237</v>
      </c>
      <c r="C268" s="63" t="s">
        <v>3605</v>
      </c>
      <c r="D268" s="64">
        <v>8.157894736842106</v>
      </c>
      <c r="E268" s="65" t="s">
        <v>136</v>
      </c>
      <c r="F268" s="66">
        <v>26.11320754716981</v>
      </c>
      <c r="G268" s="63"/>
      <c r="H268" s="67"/>
      <c r="I268" s="68"/>
      <c r="J268" s="68"/>
      <c r="K268" s="31" t="s">
        <v>65</v>
      </c>
      <c r="L268" s="76">
        <v>268</v>
      </c>
      <c r="M268" s="76"/>
      <c r="N268" s="70"/>
      <c r="O268" s="78" t="s">
        <v>305</v>
      </c>
      <c r="P268" s="78" t="s">
        <v>389</v>
      </c>
      <c r="Q268" s="78" t="s">
        <v>787</v>
      </c>
      <c r="R268" s="78" t="s">
        <v>1349</v>
      </c>
      <c r="S268" s="78"/>
      <c r="T268" s="78"/>
      <c r="U268" s="78"/>
      <c r="V268" s="78"/>
      <c r="W268" s="81" t="s">
        <v>1674</v>
      </c>
      <c r="X268" s="81" t="s">
        <v>1674</v>
      </c>
      <c r="Y268" s="78"/>
      <c r="Z268" s="78"/>
      <c r="AA268" s="81" t="s">
        <v>1674</v>
      </c>
      <c r="AB268" s="79">
        <v>13</v>
      </c>
      <c r="AC268" s="80" t="str">
        <f>REPLACE(INDEX(GroupVertices[Group],MATCH("~"&amp;Edges[[#This Row],[Vertex 1]],GroupVertices[Vertex],0)),1,1,"")</f>
        <v>2</v>
      </c>
      <c r="AD268" s="80" t="str">
        <f>REPLACE(INDEX(GroupVertices[Group],MATCH("~"&amp;Edges[[#This Row],[Vertex 2]],GroupVertices[Vertex],0)),1,1,"")</f>
        <v>5</v>
      </c>
      <c r="AE268" s="105"/>
      <c r="AF268" s="105"/>
      <c r="AG268" s="105"/>
      <c r="AH268" s="105"/>
      <c r="AI268" s="105"/>
      <c r="AJ268" s="105"/>
      <c r="AK268" s="105"/>
      <c r="AL268" s="105"/>
      <c r="AM268" s="105"/>
    </row>
    <row r="269" spans="1:39" ht="15">
      <c r="A269" s="62" t="s">
        <v>247</v>
      </c>
      <c r="B269" s="62" t="s">
        <v>237</v>
      </c>
      <c r="C269" s="63" t="s">
        <v>3605</v>
      </c>
      <c r="D269" s="64">
        <v>8.157894736842106</v>
      </c>
      <c r="E269" s="65" t="s">
        <v>136</v>
      </c>
      <c r="F269" s="66">
        <v>26.11320754716981</v>
      </c>
      <c r="G269" s="63"/>
      <c r="H269" s="67"/>
      <c r="I269" s="68"/>
      <c r="J269" s="68"/>
      <c r="K269" s="31" t="s">
        <v>65</v>
      </c>
      <c r="L269" s="76">
        <v>269</v>
      </c>
      <c r="M269" s="76"/>
      <c r="N269" s="70"/>
      <c r="O269" s="78" t="s">
        <v>305</v>
      </c>
      <c r="P269" s="78" t="s">
        <v>389</v>
      </c>
      <c r="Q269" s="78" t="s">
        <v>787</v>
      </c>
      <c r="R269" s="78" t="s">
        <v>1350</v>
      </c>
      <c r="S269" s="78"/>
      <c r="T269" s="78"/>
      <c r="U269" s="78"/>
      <c r="V269" s="78"/>
      <c r="W269" s="81" t="s">
        <v>1674</v>
      </c>
      <c r="X269" s="81" t="s">
        <v>1674</v>
      </c>
      <c r="Y269" s="78"/>
      <c r="Z269" s="78"/>
      <c r="AA269" s="81" t="s">
        <v>1674</v>
      </c>
      <c r="AB269" s="79">
        <v>13</v>
      </c>
      <c r="AC269" s="80" t="str">
        <f>REPLACE(INDEX(GroupVertices[Group],MATCH("~"&amp;Edges[[#This Row],[Vertex 1]],GroupVertices[Vertex],0)),1,1,"")</f>
        <v>2</v>
      </c>
      <c r="AD269" s="80" t="str">
        <f>REPLACE(INDEX(GroupVertices[Group],MATCH("~"&amp;Edges[[#This Row],[Vertex 2]],GroupVertices[Vertex],0)),1,1,"")</f>
        <v>5</v>
      </c>
      <c r="AE269" s="105"/>
      <c r="AF269" s="105"/>
      <c r="AG269" s="105"/>
      <c r="AH269" s="105"/>
      <c r="AI269" s="105"/>
      <c r="AJ269" s="105"/>
      <c r="AK269" s="105"/>
      <c r="AL269" s="105"/>
      <c r="AM269" s="105"/>
    </row>
    <row r="270" spans="1:39" ht="15">
      <c r="A270" s="62" t="s">
        <v>247</v>
      </c>
      <c r="B270" s="62" t="s">
        <v>237</v>
      </c>
      <c r="C270" s="63" t="s">
        <v>3605</v>
      </c>
      <c r="D270" s="64">
        <v>8.157894736842106</v>
      </c>
      <c r="E270" s="65" t="s">
        <v>136</v>
      </c>
      <c r="F270" s="66">
        <v>26.11320754716981</v>
      </c>
      <c r="G270" s="63"/>
      <c r="H270" s="67"/>
      <c r="I270" s="68"/>
      <c r="J270" s="68"/>
      <c r="K270" s="31" t="s">
        <v>65</v>
      </c>
      <c r="L270" s="76">
        <v>270</v>
      </c>
      <c r="M270" s="76"/>
      <c r="N270" s="70"/>
      <c r="O270" s="78" t="s">
        <v>305</v>
      </c>
      <c r="P270" s="78" t="s">
        <v>372</v>
      </c>
      <c r="Q270" s="78" t="s">
        <v>788</v>
      </c>
      <c r="R270" s="78" t="s">
        <v>765</v>
      </c>
      <c r="S270" s="78"/>
      <c r="T270" s="78"/>
      <c r="U270" s="78"/>
      <c r="V270" s="78"/>
      <c r="W270" s="81" t="s">
        <v>1674</v>
      </c>
      <c r="X270" s="81" t="s">
        <v>1674</v>
      </c>
      <c r="Y270" s="78"/>
      <c r="Z270" s="78"/>
      <c r="AA270" s="81" t="s">
        <v>1674</v>
      </c>
      <c r="AB270" s="79">
        <v>13</v>
      </c>
      <c r="AC270" s="80" t="str">
        <f>REPLACE(INDEX(GroupVertices[Group],MATCH("~"&amp;Edges[[#This Row],[Vertex 1]],GroupVertices[Vertex],0)),1,1,"")</f>
        <v>2</v>
      </c>
      <c r="AD270" s="80" t="str">
        <f>REPLACE(INDEX(GroupVertices[Group],MATCH("~"&amp;Edges[[#This Row],[Vertex 2]],GroupVertices[Vertex],0)),1,1,"")</f>
        <v>5</v>
      </c>
      <c r="AE270" s="105"/>
      <c r="AF270" s="105"/>
      <c r="AG270" s="105"/>
      <c r="AH270" s="105"/>
      <c r="AI270" s="105"/>
      <c r="AJ270" s="105"/>
      <c r="AK270" s="105"/>
      <c r="AL270" s="105"/>
      <c r="AM270" s="105"/>
    </row>
    <row r="271" spans="1:39" ht="15">
      <c r="A271" s="62" t="s">
        <v>260</v>
      </c>
      <c r="B271" s="62" t="s">
        <v>237</v>
      </c>
      <c r="C271" s="63" t="s">
        <v>3602</v>
      </c>
      <c r="D271" s="64">
        <v>5.526315789473684</v>
      </c>
      <c r="E271" s="65" t="s">
        <v>136</v>
      </c>
      <c r="F271" s="66">
        <v>31.0188679245283</v>
      </c>
      <c r="G271" s="63"/>
      <c r="H271" s="67"/>
      <c r="I271" s="68"/>
      <c r="J271" s="68"/>
      <c r="K271" s="31" t="s">
        <v>65</v>
      </c>
      <c r="L271" s="76">
        <v>271</v>
      </c>
      <c r="M271" s="76"/>
      <c r="N271" s="70"/>
      <c r="O271" s="78" t="s">
        <v>305</v>
      </c>
      <c r="P271" s="78" t="s">
        <v>370</v>
      </c>
      <c r="Q271" s="78" t="s">
        <v>789</v>
      </c>
      <c r="R271" s="78" t="s">
        <v>761</v>
      </c>
      <c r="S271" s="78"/>
      <c r="T271" s="78"/>
      <c r="U271" s="78"/>
      <c r="V271" s="78"/>
      <c r="W271" s="81" t="s">
        <v>1674</v>
      </c>
      <c r="X271" s="81" t="s">
        <v>1674</v>
      </c>
      <c r="Y271" s="78"/>
      <c r="Z271" s="78"/>
      <c r="AA271" s="81" t="s">
        <v>1674</v>
      </c>
      <c r="AB271" s="79">
        <v>3</v>
      </c>
      <c r="AC271" s="80" t="str">
        <f>REPLACE(INDEX(GroupVertices[Group],MATCH("~"&amp;Edges[[#This Row],[Vertex 1]],GroupVertices[Vertex],0)),1,1,"")</f>
        <v>1</v>
      </c>
      <c r="AD271" s="80" t="str">
        <f>REPLACE(INDEX(GroupVertices[Group],MATCH("~"&amp;Edges[[#This Row],[Vertex 2]],GroupVertices[Vertex],0)),1,1,"")</f>
        <v>5</v>
      </c>
      <c r="AE271" s="105"/>
      <c r="AF271" s="105"/>
      <c r="AG271" s="105"/>
      <c r="AH271" s="105"/>
      <c r="AI271" s="105"/>
      <c r="AJ271" s="105"/>
      <c r="AK271" s="105"/>
      <c r="AL271" s="105"/>
      <c r="AM271" s="105"/>
    </row>
    <row r="272" spans="1:39" ht="15">
      <c r="A272" s="62" t="s">
        <v>260</v>
      </c>
      <c r="B272" s="62" t="s">
        <v>237</v>
      </c>
      <c r="C272" s="63" t="s">
        <v>3602</v>
      </c>
      <c r="D272" s="64">
        <v>5.526315789473684</v>
      </c>
      <c r="E272" s="65" t="s">
        <v>136</v>
      </c>
      <c r="F272" s="66">
        <v>31.0188679245283</v>
      </c>
      <c r="G272" s="63"/>
      <c r="H272" s="67"/>
      <c r="I272" s="68"/>
      <c r="J272" s="68"/>
      <c r="K272" s="31" t="s">
        <v>65</v>
      </c>
      <c r="L272" s="76">
        <v>272</v>
      </c>
      <c r="M272" s="76"/>
      <c r="N272" s="70"/>
      <c r="O272" s="78" t="s">
        <v>305</v>
      </c>
      <c r="P272" s="78" t="s">
        <v>370</v>
      </c>
      <c r="Q272" s="78" t="s">
        <v>789</v>
      </c>
      <c r="R272" s="78" t="s">
        <v>762</v>
      </c>
      <c r="S272" s="78"/>
      <c r="T272" s="78"/>
      <c r="U272" s="78"/>
      <c r="V272" s="78"/>
      <c r="W272" s="81" t="s">
        <v>1674</v>
      </c>
      <c r="X272" s="81" t="s">
        <v>1674</v>
      </c>
      <c r="Y272" s="78"/>
      <c r="Z272" s="78"/>
      <c r="AA272" s="81" t="s">
        <v>1674</v>
      </c>
      <c r="AB272" s="79">
        <v>3</v>
      </c>
      <c r="AC272" s="80" t="str">
        <f>REPLACE(INDEX(GroupVertices[Group],MATCH("~"&amp;Edges[[#This Row],[Vertex 1]],GroupVertices[Vertex],0)),1,1,"")</f>
        <v>1</v>
      </c>
      <c r="AD272" s="80" t="str">
        <f>REPLACE(INDEX(GroupVertices[Group],MATCH("~"&amp;Edges[[#This Row],[Vertex 2]],GroupVertices[Vertex],0)),1,1,"")</f>
        <v>5</v>
      </c>
      <c r="AE272" s="105"/>
      <c r="AF272" s="105"/>
      <c r="AG272" s="105"/>
      <c r="AH272" s="105"/>
      <c r="AI272" s="105"/>
      <c r="AJ272" s="105"/>
      <c r="AK272" s="105"/>
      <c r="AL272" s="105"/>
      <c r="AM272" s="105"/>
    </row>
    <row r="273" spans="1:39" ht="15">
      <c r="A273" s="62" t="s">
        <v>260</v>
      </c>
      <c r="B273" s="62" t="s">
        <v>237</v>
      </c>
      <c r="C273" s="63" t="s">
        <v>3602</v>
      </c>
      <c r="D273" s="64">
        <v>5.526315789473684</v>
      </c>
      <c r="E273" s="65" t="s">
        <v>136</v>
      </c>
      <c r="F273" s="66">
        <v>31.0188679245283</v>
      </c>
      <c r="G273" s="63"/>
      <c r="H273" s="67"/>
      <c r="I273" s="68"/>
      <c r="J273" s="68"/>
      <c r="K273" s="31" t="s">
        <v>65</v>
      </c>
      <c r="L273" s="76">
        <v>273</v>
      </c>
      <c r="M273" s="76"/>
      <c r="N273" s="70"/>
      <c r="O273" s="78" t="s">
        <v>305</v>
      </c>
      <c r="P273" s="78" t="s">
        <v>370</v>
      </c>
      <c r="Q273" s="78" t="s">
        <v>789</v>
      </c>
      <c r="R273" s="78" t="s">
        <v>763</v>
      </c>
      <c r="S273" s="78"/>
      <c r="T273" s="78"/>
      <c r="U273" s="78"/>
      <c r="V273" s="78"/>
      <c r="W273" s="81" t="s">
        <v>1674</v>
      </c>
      <c r="X273" s="81" t="s">
        <v>1674</v>
      </c>
      <c r="Y273" s="78"/>
      <c r="Z273" s="78"/>
      <c r="AA273" s="81" t="s">
        <v>1674</v>
      </c>
      <c r="AB273" s="79">
        <v>3</v>
      </c>
      <c r="AC273" s="80" t="str">
        <f>REPLACE(INDEX(GroupVertices[Group],MATCH("~"&amp;Edges[[#This Row],[Vertex 1]],GroupVertices[Vertex],0)),1,1,"")</f>
        <v>1</v>
      </c>
      <c r="AD273" s="80" t="str">
        <f>REPLACE(INDEX(GroupVertices[Group],MATCH("~"&amp;Edges[[#This Row],[Vertex 2]],GroupVertices[Vertex],0)),1,1,"")</f>
        <v>5</v>
      </c>
      <c r="AE273" s="105"/>
      <c r="AF273" s="105"/>
      <c r="AG273" s="105"/>
      <c r="AH273" s="105"/>
      <c r="AI273" s="105"/>
      <c r="AJ273" s="105"/>
      <c r="AK273" s="105"/>
      <c r="AL273" s="105"/>
      <c r="AM273" s="105"/>
    </row>
    <row r="274" spans="1:39" ht="15">
      <c r="A274" s="62" t="s">
        <v>266</v>
      </c>
      <c r="B274" s="62" t="s">
        <v>237</v>
      </c>
      <c r="C274" s="63" t="s">
        <v>3598</v>
      </c>
      <c r="D274" s="64">
        <v>5</v>
      </c>
      <c r="E274" s="65" t="s">
        <v>132</v>
      </c>
      <c r="F274" s="66">
        <v>32</v>
      </c>
      <c r="G274" s="63"/>
      <c r="H274" s="67"/>
      <c r="I274" s="68"/>
      <c r="J274" s="68"/>
      <c r="K274" s="31" t="s">
        <v>65</v>
      </c>
      <c r="L274" s="76">
        <v>274</v>
      </c>
      <c r="M274" s="76"/>
      <c r="N274" s="70"/>
      <c r="O274" s="78" t="s">
        <v>305</v>
      </c>
      <c r="P274" s="78" t="s">
        <v>380</v>
      </c>
      <c r="Q274" s="78" t="s">
        <v>790</v>
      </c>
      <c r="R274" s="78" t="s">
        <v>775</v>
      </c>
      <c r="S274" s="78"/>
      <c r="T274" s="78"/>
      <c r="U274" s="78"/>
      <c r="V274" s="78"/>
      <c r="W274" s="81" t="s">
        <v>1674</v>
      </c>
      <c r="X274" s="81" t="s">
        <v>1674</v>
      </c>
      <c r="Y274" s="78"/>
      <c r="Z274" s="78"/>
      <c r="AA274" s="81" t="s">
        <v>1674</v>
      </c>
      <c r="AB274" s="79">
        <v>1</v>
      </c>
      <c r="AC274" s="80" t="str">
        <f>REPLACE(INDEX(GroupVertices[Group],MATCH("~"&amp;Edges[[#This Row],[Vertex 1]],GroupVertices[Vertex],0)),1,1,"")</f>
        <v>1</v>
      </c>
      <c r="AD274" s="80" t="str">
        <f>REPLACE(INDEX(GroupVertices[Group],MATCH("~"&amp;Edges[[#This Row],[Vertex 2]],GroupVertices[Vertex],0)),1,1,"")</f>
        <v>5</v>
      </c>
      <c r="AE274" s="105"/>
      <c r="AF274" s="105"/>
      <c r="AG274" s="105"/>
      <c r="AH274" s="105"/>
      <c r="AI274" s="105"/>
      <c r="AJ274" s="105"/>
      <c r="AK274" s="105"/>
      <c r="AL274" s="105"/>
      <c r="AM274" s="105"/>
    </row>
    <row r="275" spans="1:39" ht="15">
      <c r="A275" s="62" t="s">
        <v>266</v>
      </c>
      <c r="B275" s="62" t="s">
        <v>299</v>
      </c>
      <c r="C275" s="63" t="s">
        <v>3598</v>
      </c>
      <c r="D275" s="64">
        <v>5</v>
      </c>
      <c r="E275" s="65" t="s">
        <v>132</v>
      </c>
      <c r="F275" s="66">
        <v>32</v>
      </c>
      <c r="G275" s="63"/>
      <c r="H275" s="67"/>
      <c r="I275" s="68"/>
      <c r="J275" s="68"/>
      <c r="K275" s="31" t="s">
        <v>65</v>
      </c>
      <c r="L275" s="76">
        <v>275</v>
      </c>
      <c r="M275" s="76"/>
      <c r="N275" s="70"/>
      <c r="O275" s="78" t="s">
        <v>305</v>
      </c>
      <c r="P275" s="78" t="s">
        <v>390</v>
      </c>
      <c r="Q275" s="78" t="s">
        <v>791</v>
      </c>
      <c r="R275" s="78" t="s">
        <v>1351</v>
      </c>
      <c r="S275" s="78"/>
      <c r="T275" s="78"/>
      <c r="U275" s="78"/>
      <c r="V275" s="78"/>
      <c r="W275" s="81" t="s">
        <v>1674</v>
      </c>
      <c r="X275" s="81" t="s">
        <v>1674</v>
      </c>
      <c r="Y275" s="78"/>
      <c r="Z275" s="78"/>
      <c r="AA275" s="81" t="s">
        <v>1674</v>
      </c>
      <c r="AB275" s="79">
        <v>1</v>
      </c>
      <c r="AC275" s="80" t="str">
        <f>REPLACE(INDEX(GroupVertices[Group],MATCH("~"&amp;Edges[[#This Row],[Vertex 1]],GroupVertices[Vertex],0)),1,1,"")</f>
        <v>1</v>
      </c>
      <c r="AD275" s="80" t="str">
        <f>REPLACE(INDEX(GroupVertices[Group],MATCH("~"&amp;Edges[[#This Row],[Vertex 2]],GroupVertices[Vertex],0)),1,1,"")</f>
        <v>1</v>
      </c>
      <c r="AE275" s="105"/>
      <c r="AF275" s="105"/>
      <c r="AG275" s="105"/>
      <c r="AH275" s="105"/>
      <c r="AI275" s="105"/>
      <c r="AJ275" s="105"/>
      <c r="AK275" s="105"/>
      <c r="AL275" s="105"/>
      <c r="AM275" s="105"/>
    </row>
    <row r="276" spans="1:39" ht="15">
      <c r="A276" s="62" t="s">
        <v>267</v>
      </c>
      <c r="B276" s="62" t="s">
        <v>299</v>
      </c>
      <c r="C276" s="63" t="s">
        <v>3598</v>
      </c>
      <c r="D276" s="64">
        <v>5</v>
      </c>
      <c r="E276" s="65" t="s">
        <v>132</v>
      </c>
      <c r="F276" s="66">
        <v>32</v>
      </c>
      <c r="G276" s="63"/>
      <c r="H276" s="67"/>
      <c r="I276" s="68"/>
      <c r="J276" s="68"/>
      <c r="K276" s="31" t="s">
        <v>65</v>
      </c>
      <c r="L276" s="76">
        <v>276</v>
      </c>
      <c r="M276" s="76"/>
      <c r="N276" s="70"/>
      <c r="O276" s="78" t="s">
        <v>305</v>
      </c>
      <c r="P276" s="78" t="s">
        <v>391</v>
      </c>
      <c r="Q276" s="78" t="s">
        <v>792</v>
      </c>
      <c r="R276" s="78" t="s">
        <v>1352</v>
      </c>
      <c r="S276" s="78" t="s">
        <v>1647</v>
      </c>
      <c r="T276" s="78"/>
      <c r="U276" s="78" t="s">
        <v>1670</v>
      </c>
      <c r="V276" s="78"/>
      <c r="W276" s="81" t="s">
        <v>1674</v>
      </c>
      <c r="X276" s="81" t="s">
        <v>1674</v>
      </c>
      <c r="Y276" s="78" t="s">
        <v>1682</v>
      </c>
      <c r="Z276" s="78" t="s">
        <v>1709</v>
      </c>
      <c r="AA276" s="81" t="s">
        <v>1674</v>
      </c>
      <c r="AB276" s="79">
        <v>1</v>
      </c>
      <c r="AC276" s="80" t="str">
        <f>REPLACE(INDEX(GroupVertices[Group],MATCH("~"&amp;Edges[[#This Row],[Vertex 1]],GroupVertices[Vertex],0)),1,1,"")</f>
        <v>1</v>
      </c>
      <c r="AD276" s="80" t="str">
        <f>REPLACE(INDEX(GroupVertices[Group],MATCH("~"&amp;Edges[[#This Row],[Vertex 2]],GroupVertices[Vertex],0)),1,1,"")</f>
        <v>1</v>
      </c>
      <c r="AE276" s="105"/>
      <c r="AF276" s="105"/>
      <c r="AG276" s="105"/>
      <c r="AH276" s="105"/>
      <c r="AI276" s="105"/>
      <c r="AJ276" s="105"/>
      <c r="AK276" s="105"/>
      <c r="AL276" s="105"/>
      <c r="AM276" s="105"/>
    </row>
    <row r="277" spans="1:39" ht="15">
      <c r="A277" s="62" t="s">
        <v>239</v>
      </c>
      <c r="B277" s="62" t="s">
        <v>223</v>
      </c>
      <c r="C277" s="63" t="s">
        <v>3598</v>
      </c>
      <c r="D277" s="64">
        <v>5</v>
      </c>
      <c r="E277" s="65" t="s">
        <v>132</v>
      </c>
      <c r="F277" s="66">
        <v>32</v>
      </c>
      <c r="G277" s="63"/>
      <c r="H277" s="67"/>
      <c r="I277" s="68"/>
      <c r="J277" s="68"/>
      <c r="K277" s="31" t="s">
        <v>65</v>
      </c>
      <c r="L277" s="76">
        <v>277</v>
      </c>
      <c r="M277" s="76"/>
      <c r="N277" s="70"/>
      <c r="O277" s="78" t="s">
        <v>305</v>
      </c>
      <c r="P277" s="78" t="s">
        <v>392</v>
      </c>
      <c r="Q277" s="78" t="s">
        <v>793</v>
      </c>
      <c r="R277" s="78" t="s">
        <v>1353</v>
      </c>
      <c r="S277" s="78"/>
      <c r="T277" s="78"/>
      <c r="U277" s="78"/>
      <c r="V277" s="78"/>
      <c r="W277" s="81" t="s">
        <v>1674</v>
      </c>
      <c r="X277" s="81" t="s">
        <v>1674</v>
      </c>
      <c r="Y277" s="78"/>
      <c r="Z277" s="78"/>
      <c r="AA277" s="81" t="s">
        <v>1674</v>
      </c>
      <c r="AB277" s="79">
        <v>1</v>
      </c>
      <c r="AC277" s="80" t="str">
        <f>REPLACE(INDEX(GroupVertices[Group],MATCH("~"&amp;Edges[[#This Row],[Vertex 1]],GroupVertices[Vertex],0)),1,1,"")</f>
        <v>5</v>
      </c>
      <c r="AD277" s="80" t="str">
        <f>REPLACE(INDEX(GroupVertices[Group],MATCH("~"&amp;Edges[[#This Row],[Vertex 2]],GroupVertices[Vertex],0)),1,1,"")</f>
        <v>5</v>
      </c>
      <c r="AE277" s="105"/>
      <c r="AF277" s="105"/>
      <c r="AG277" s="105"/>
      <c r="AH277" s="105"/>
      <c r="AI277" s="105"/>
      <c r="AJ277" s="105"/>
      <c r="AK277" s="105"/>
      <c r="AL277" s="105"/>
      <c r="AM277" s="105"/>
    </row>
    <row r="278" spans="1:39" ht="15">
      <c r="A278" s="62" t="s">
        <v>242</v>
      </c>
      <c r="B278" s="62" t="s">
        <v>239</v>
      </c>
      <c r="C278" s="63" t="s">
        <v>3602</v>
      </c>
      <c r="D278" s="64">
        <v>5.526315789473684</v>
      </c>
      <c r="E278" s="65" t="s">
        <v>136</v>
      </c>
      <c r="F278" s="66">
        <v>31.0188679245283</v>
      </c>
      <c r="G278" s="63"/>
      <c r="H278" s="67"/>
      <c r="I278" s="68"/>
      <c r="J278" s="68"/>
      <c r="K278" s="31" t="s">
        <v>65</v>
      </c>
      <c r="L278" s="76">
        <v>278</v>
      </c>
      <c r="M278" s="76"/>
      <c r="N278" s="70"/>
      <c r="O278" s="78" t="s">
        <v>305</v>
      </c>
      <c r="P278" s="78" t="s">
        <v>373</v>
      </c>
      <c r="Q278" s="78" t="s">
        <v>794</v>
      </c>
      <c r="R278" s="78" t="s">
        <v>1324</v>
      </c>
      <c r="S278" s="78"/>
      <c r="T278" s="78"/>
      <c r="U278" s="78"/>
      <c r="V278" s="78"/>
      <c r="W278" s="81" t="s">
        <v>1674</v>
      </c>
      <c r="X278" s="81" t="s">
        <v>1674</v>
      </c>
      <c r="Y278" s="78"/>
      <c r="Z278" s="78"/>
      <c r="AA278" s="81" t="s">
        <v>1674</v>
      </c>
      <c r="AB278" s="79">
        <v>3</v>
      </c>
      <c r="AC278" s="80" t="str">
        <f>REPLACE(INDEX(GroupVertices[Group],MATCH("~"&amp;Edges[[#This Row],[Vertex 1]],GroupVertices[Vertex],0)),1,1,"")</f>
        <v>5</v>
      </c>
      <c r="AD278" s="80" t="str">
        <f>REPLACE(INDEX(GroupVertices[Group],MATCH("~"&amp;Edges[[#This Row],[Vertex 2]],GroupVertices[Vertex],0)),1,1,"")</f>
        <v>5</v>
      </c>
      <c r="AE278" s="105"/>
      <c r="AF278" s="105"/>
      <c r="AG278" s="105"/>
      <c r="AH278" s="105"/>
      <c r="AI278" s="105"/>
      <c r="AJ278" s="105"/>
      <c r="AK278" s="105"/>
      <c r="AL278" s="105"/>
      <c r="AM278" s="105"/>
    </row>
    <row r="279" spans="1:39" ht="15">
      <c r="A279" s="62" t="s">
        <v>242</v>
      </c>
      <c r="B279" s="62" t="s">
        <v>239</v>
      </c>
      <c r="C279" s="63" t="s">
        <v>3602</v>
      </c>
      <c r="D279" s="64">
        <v>5.526315789473684</v>
      </c>
      <c r="E279" s="65" t="s">
        <v>136</v>
      </c>
      <c r="F279" s="66">
        <v>31.0188679245283</v>
      </c>
      <c r="G279" s="63"/>
      <c r="H279" s="67"/>
      <c r="I279" s="68"/>
      <c r="J279" s="68"/>
      <c r="K279" s="31" t="s">
        <v>65</v>
      </c>
      <c r="L279" s="76">
        <v>279</v>
      </c>
      <c r="M279" s="76"/>
      <c r="N279" s="70"/>
      <c r="O279" s="78" t="s">
        <v>305</v>
      </c>
      <c r="P279" s="78" t="s">
        <v>373</v>
      </c>
      <c r="Q279" s="78" t="s">
        <v>794</v>
      </c>
      <c r="R279" s="78" t="s">
        <v>1325</v>
      </c>
      <c r="S279" s="78"/>
      <c r="T279" s="78"/>
      <c r="U279" s="78"/>
      <c r="V279" s="78"/>
      <c r="W279" s="81" t="s">
        <v>1674</v>
      </c>
      <c r="X279" s="81" t="s">
        <v>1674</v>
      </c>
      <c r="Y279" s="78"/>
      <c r="Z279" s="78"/>
      <c r="AA279" s="81" t="s">
        <v>1674</v>
      </c>
      <c r="AB279" s="79">
        <v>3</v>
      </c>
      <c r="AC279" s="80" t="str">
        <f>REPLACE(INDEX(GroupVertices[Group],MATCH("~"&amp;Edges[[#This Row],[Vertex 1]],GroupVertices[Vertex],0)),1,1,"")</f>
        <v>5</v>
      </c>
      <c r="AD279" s="80" t="str">
        <f>REPLACE(INDEX(GroupVertices[Group],MATCH("~"&amp;Edges[[#This Row],[Vertex 2]],GroupVertices[Vertex],0)),1,1,"")</f>
        <v>5</v>
      </c>
      <c r="AE279" s="105"/>
      <c r="AF279" s="105"/>
      <c r="AG279" s="105"/>
      <c r="AH279" s="105"/>
      <c r="AI279" s="105"/>
      <c r="AJ279" s="105"/>
      <c r="AK279" s="105"/>
      <c r="AL279" s="105"/>
      <c r="AM279" s="105"/>
    </row>
    <row r="280" spans="1:39" ht="15">
      <c r="A280" s="62" t="s">
        <v>242</v>
      </c>
      <c r="B280" s="62" t="s">
        <v>239</v>
      </c>
      <c r="C280" s="63" t="s">
        <v>3602</v>
      </c>
      <c r="D280" s="64">
        <v>5.526315789473684</v>
      </c>
      <c r="E280" s="65" t="s">
        <v>136</v>
      </c>
      <c r="F280" s="66">
        <v>31.0188679245283</v>
      </c>
      <c r="G280" s="63"/>
      <c r="H280" s="67"/>
      <c r="I280" s="68"/>
      <c r="J280" s="68"/>
      <c r="K280" s="31" t="s">
        <v>65</v>
      </c>
      <c r="L280" s="76">
        <v>280</v>
      </c>
      <c r="M280" s="76"/>
      <c r="N280" s="70"/>
      <c r="O280" s="78" t="s">
        <v>305</v>
      </c>
      <c r="P280" s="78" t="s">
        <v>343</v>
      </c>
      <c r="Q280" s="78" t="s">
        <v>699</v>
      </c>
      <c r="R280" s="78" t="s">
        <v>696</v>
      </c>
      <c r="S280" s="78"/>
      <c r="T280" s="78"/>
      <c r="U280" s="78"/>
      <c r="V280" s="78"/>
      <c r="W280" s="81" t="s">
        <v>1674</v>
      </c>
      <c r="X280" s="81" t="s">
        <v>1674</v>
      </c>
      <c r="Y280" s="78"/>
      <c r="Z280" s="78"/>
      <c r="AA280" s="81" t="s">
        <v>1674</v>
      </c>
      <c r="AB280" s="79">
        <v>3</v>
      </c>
      <c r="AC280" s="80" t="str">
        <f>REPLACE(INDEX(GroupVertices[Group],MATCH("~"&amp;Edges[[#This Row],[Vertex 1]],GroupVertices[Vertex],0)),1,1,"")</f>
        <v>5</v>
      </c>
      <c r="AD280" s="80" t="str">
        <f>REPLACE(INDEX(GroupVertices[Group],MATCH("~"&amp;Edges[[#This Row],[Vertex 2]],GroupVertices[Vertex],0)),1,1,"")</f>
        <v>5</v>
      </c>
      <c r="AE280" s="105"/>
      <c r="AF280" s="105"/>
      <c r="AG280" s="105"/>
      <c r="AH280" s="105"/>
      <c r="AI280" s="105"/>
      <c r="AJ280" s="105"/>
      <c r="AK280" s="105"/>
      <c r="AL280" s="105"/>
      <c r="AM280" s="105"/>
    </row>
    <row r="281" spans="1:39" ht="15">
      <c r="A281" s="62" t="s">
        <v>268</v>
      </c>
      <c r="B281" s="62" t="s">
        <v>239</v>
      </c>
      <c r="C281" s="63" t="s">
        <v>3602</v>
      </c>
      <c r="D281" s="64">
        <v>5.526315789473684</v>
      </c>
      <c r="E281" s="65" t="s">
        <v>136</v>
      </c>
      <c r="F281" s="66">
        <v>31.0188679245283</v>
      </c>
      <c r="G281" s="63"/>
      <c r="H281" s="67"/>
      <c r="I281" s="68"/>
      <c r="J281" s="68"/>
      <c r="K281" s="31" t="s">
        <v>65</v>
      </c>
      <c r="L281" s="76">
        <v>281</v>
      </c>
      <c r="M281" s="76"/>
      <c r="N281" s="70"/>
      <c r="O281" s="78" t="s">
        <v>305</v>
      </c>
      <c r="P281" s="78" t="s">
        <v>393</v>
      </c>
      <c r="Q281" s="78" t="s">
        <v>795</v>
      </c>
      <c r="R281" s="78" t="s">
        <v>1354</v>
      </c>
      <c r="S281" s="78"/>
      <c r="T281" s="78"/>
      <c r="U281" s="78"/>
      <c r="V281" s="78"/>
      <c r="W281" s="81" t="s">
        <v>1674</v>
      </c>
      <c r="X281" s="81" t="s">
        <v>1674</v>
      </c>
      <c r="Y281" s="78"/>
      <c r="Z281" s="78"/>
      <c r="AA281" s="81" t="s">
        <v>1674</v>
      </c>
      <c r="AB281" s="79">
        <v>3</v>
      </c>
      <c r="AC281" s="80" t="str">
        <f>REPLACE(INDEX(GroupVertices[Group],MATCH("~"&amp;Edges[[#This Row],[Vertex 1]],GroupVertices[Vertex],0)),1,1,"")</f>
        <v>6</v>
      </c>
      <c r="AD281" s="80" t="str">
        <f>REPLACE(INDEX(GroupVertices[Group],MATCH("~"&amp;Edges[[#This Row],[Vertex 2]],GroupVertices[Vertex],0)),1,1,"")</f>
        <v>5</v>
      </c>
      <c r="AE281" s="105"/>
      <c r="AF281" s="105"/>
      <c r="AG281" s="105"/>
      <c r="AH281" s="105"/>
      <c r="AI281" s="105"/>
      <c r="AJ281" s="105"/>
      <c r="AK281" s="105"/>
      <c r="AL281" s="105"/>
      <c r="AM281" s="105"/>
    </row>
    <row r="282" spans="1:39" ht="15">
      <c r="A282" s="62" t="s">
        <v>268</v>
      </c>
      <c r="B282" s="62" t="s">
        <v>239</v>
      </c>
      <c r="C282" s="63" t="s">
        <v>3602</v>
      </c>
      <c r="D282" s="64">
        <v>5.526315789473684</v>
      </c>
      <c r="E282" s="65" t="s">
        <v>136</v>
      </c>
      <c r="F282" s="66">
        <v>31.0188679245283</v>
      </c>
      <c r="G282" s="63"/>
      <c r="H282" s="67"/>
      <c r="I282" s="68"/>
      <c r="J282" s="68"/>
      <c r="K282" s="31" t="s">
        <v>65</v>
      </c>
      <c r="L282" s="76">
        <v>282</v>
      </c>
      <c r="M282" s="76"/>
      <c r="N282" s="70"/>
      <c r="O282" s="78" t="s">
        <v>305</v>
      </c>
      <c r="P282" s="78" t="s">
        <v>393</v>
      </c>
      <c r="Q282" s="78" t="s">
        <v>796</v>
      </c>
      <c r="R282" s="78" t="s">
        <v>1354</v>
      </c>
      <c r="S282" s="78"/>
      <c r="T282" s="78"/>
      <c r="U282" s="78"/>
      <c r="V282" s="78"/>
      <c r="W282" s="81" t="s">
        <v>1674</v>
      </c>
      <c r="X282" s="81" t="s">
        <v>1674</v>
      </c>
      <c r="Y282" s="78"/>
      <c r="Z282" s="78"/>
      <c r="AA282" s="81" t="s">
        <v>1674</v>
      </c>
      <c r="AB282" s="79">
        <v>3</v>
      </c>
      <c r="AC282" s="80" t="str">
        <f>REPLACE(INDEX(GroupVertices[Group],MATCH("~"&amp;Edges[[#This Row],[Vertex 1]],GroupVertices[Vertex],0)),1,1,"")</f>
        <v>6</v>
      </c>
      <c r="AD282" s="80" t="str">
        <f>REPLACE(INDEX(GroupVertices[Group],MATCH("~"&amp;Edges[[#This Row],[Vertex 2]],GroupVertices[Vertex],0)),1,1,"")</f>
        <v>5</v>
      </c>
      <c r="AE282" s="105"/>
      <c r="AF282" s="105"/>
      <c r="AG282" s="105"/>
      <c r="AH282" s="105"/>
      <c r="AI282" s="105"/>
      <c r="AJ282" s="105"/>
      <c r="AK282" s="105"/>
      <c r="AL282" s="105"/>
      <c r="AM282" s="105"/>
    </row>
    <row r="283" spans="1:39" ht="15">
      <c r="A283" s="62" t="s">
        <v>268</v>
      </c>
      <c r="B283" s="62" t="s">
        <v>239</v>
      </c>
      <c r="C283" s="63" t="s">
        <v>3602</v>
      </c>
      <c r="D283" s="64">
        <v>5.526315789473684</v>
      </c>
      <c r="E283" s="65" t="s">
        <v>136</v>
      </c>
      <c r="F283" s="66">
        <v>31.0188679245283</v>
      </c>
      <c r="G283" s="63"/>
      <c r="H283" s="67"/>
      <c r="I283" s="68"/>
      <c r="J283" s="68"/>
      <c r="K283" s="31" t="s">
        <v>65</v>
      </c>
      <c r="L283" s="76">
        <v>283</v>
      </c>
      <c r="M283" s="76"/>
      <c r="N283" s="70"/>
      <c r="O283" s="78" t="s">
        <v>305</v>
      </c>
      <c r="P283" s="78" t="s">
        <v>393</v>
      </c>
      <c r="Q283" s="78" t="s">
        <v>797</v>
      </c>
      <c r="R283" s="78" t="s">
        <v>1354</v>
      </c>
      <c r="S283" s="78" t="s">
        <v>1648</v>
      </c>
      <c r="T283" s="78"/>
      <c r="U283" s="78" t="s">
        <v>1670</v>
      </c>
      <c r="V283" s="78"/>
      <c r="W283" s="81" t="s">
        <v>1674</v>
      </c>
      <c r="X283" s="81" t="s">
        <v>1674</v>
      </c>
      <c r="Y283" s="78" t="s">
        <v>1683</v>
      </c>
      <c r="Z283" s="78" t="s">
        <v>1709</v>
      </c>
      <c r="AA283" s="81" t="s">
        <v>1674</v>
      </c>
      <c r="AB283" s="79">
        <v>3</v>
      </c>
      <c r="AC283" s="80" t="str">
        <f>REPLACE(INDEX(GroupVertices[Group],MATCH("~"&amp;Edges[[#This Row],[Vertex 1]],GroupVertices[Vertex],0)),1,1,"")</f>
        <v>6</v>
      </c>
      <c r="AD283" s="80" t="str">
        <f>REPLACE(INDEX(GroupVertices[Group],MATCH("~"&amp;Edges[[#This Row],[Vertex 2]],GroupVertices[Vertex],0)),1,1,"")</f>
        <v>5</v>
      </c>
      <c r="AE283" s="105"/>
      <c r="AF283" s="105"/>
      <c r="AG283" s="105"/>
      <c r="AH283" s="105"/>
      <c r="AI283" s="105"/>
      <c r="AJ283" s="105"/>
      <c r="AK283" s="105"/>
      <c r="AL283" s="105"/>
      <c r="AM283" s="105"/>
    </row>
    <row r="284" spans="1:39" ht="15">
      <c r="A284" s="62" t="s">
        <v>244</v>
      </c>
      <c r="B284" s="62" t="s">
        <v>239</v>
      </c>
      <c r="C284" s="63" t="s">
        <v>3602</v>
      </c>
      <c r="D284" s="64">
        <v>5.526315789473684</v>
      </c>
      <c r="E284" s="65" t="s">
        <v>136</v>
      </c>
      <c r="F284" s="66">
        <v>31.0188679245283</v>
      </c>
      <c r="G284" s="63"/>
      <c r="H284" s="67"/>
      <c r="I284" s="68"/>
      <c r="J284" s="68"/>
      <c r="K284" s="31" t="s">
        <v>65</v>
      </c>
      <c r="L284" s="76">
        <v>284</v>
      </c>
      <c r="M284" s="76"/>
      <c r="N284" s="70"/>
      <c r="O284" s="78" t="s">
        <v>305</v>
      </c>
      <c r="P284" s="78" t="s">
        <v>394</v>
      </c>
      <c r="Q284" s="78" t="s">
        <v>798</v>
      </c>
      <c r="R284" s="78" t="s">
        <v>1355</v>
      </c>
      <c r="S284" s="78"/>
      <c r="T284" s="78"/>
      <c r="U284" s="78"/>
      <c r="V284" s="78"/>
      <c r="W284" s="81" t="s">
        <v>1674</v>
      </c>
      <c r="X284" s="81" t="s">
        <v>1674</v>
      </c>
      <c r="Y284" s="78"/>
      <c r="Z284" s="78"/>
      <c r="AA284" s="81" t="s">
        <v>1674</v>
      </c>
      <c r="AB284" s="79">
        <v>3</v>
      </c>
      <c r="AC284" s="80" t="str">
        <f>REPLACE(INDEX(GroupVertices[Group],MATCH("~"&amp;Edges[[#This Row],[Vertex 1]],GroupVertices[Vertex],0)),1,1,"")</f>
        <v>5</v>
      </c>
      <c r="AD284" s="80" t="str">
        <f>REPLACE(INDEX(GroupVertices[Group],MATCH("~"&amp;Edges[[#This Row],[Vertex 2]],GroupVertices[Vertex],0)),1,1,"")</f>
        <v>5</v>
      </c>
      <c r="AE284" s="105"/>
      <c r="AF284" s="105"/>
      <c r="AG284" s="105"/>
      <c r="AH284" s="105"/>
      <c r="AI284" s="105"/>
      <c r="AJ284" s="105"/>
      <c r="AK284" s="105"/>
      <c r="AL284" s="105"/>
      <c r="AM284" s="105"/>
    </row>
    <row r="285" spans="1:39" ht="15">
      <c r="A285" s="62" t="s">
        <v>244</v>
      </c>
      <c r="B285" s="62" t="s">
        <v>239</v>
      </c>
      <c r="C285" s="63" t="s">
        <v>3602</v>
      </c>
      <c r="D285" s="64">
        <v>5.526315789473684</v>
      </c>
      <c r="E285" s="65" t="s">
        <v>136</v>
      </c>
      <c r="F285" s="66">
        <v>31.0188679245283</v>
      </c>
      <c r="G285" s="63"/>
      <c r="H285" s="67"/>
      <c r="I285" s="68"/>
      <c r="J285" s="68"/>
      <c r="K285" s="31" t="s">
        <v>65</v>
      </c>
      <c r="L285" s="76">
        <v>285</v>
      </c>
      <c r="M285" s="76"/>
      <c r="N285" s="70"/>
      <c r="O285" s="78" t="s">
        <v>305</v>
      </c>
      <c r="P285" s="78" t="s">
        <v>394</v>
      </c>
      <c r="Q285" s="78" t="s">
        <v>799</v>
      </c>
      <c r="R285" s="78" t="s">
        <v>1355</v>
      </c>
      <c r="S285" s="78"/>
      <c r="T285" s="78"/>
      <c r="U285" s="78"/>
      <c r="V285" s="78"/>
      <c r="W285" s="81" t="s">
        <v>1674</v>
      </c>
      <c r="X285" s="81" t="s">
        <v>1674</v>
      </c>
      <c r="Y285" s="78"/>
      <c r="Z285" s="78"/>
      <c r="AA285" s="81" t="s">
        <v>1674</v>
      </c>
      <c r="AB285" s="79">
        <v>3</v>
      </c>
      <c r="AC285" s="80" t="str">
        <f>REPLACE(INDEX(GroupVertices[Group],MATCH("~"&amp;Edges[[#This Row],[Vertex 1]],GroupVertices[Vertex],0)),1,1,"")</f>
        <v>5</v>
      </c>
      <c r="AD285" s="80" t="str">
        <f>REPLACE(INDEX(GroupVertices[Group],MATCH("~"&amp;Edges[[#This Row],[Vertex 2]],GroupVertices[Vertex],0)),1,1,"")</f>
        <v>5</v>
      </c>
      <c r="AE285" s="105"/>
      <c r="AF285" s="105"/>
      <c r="AG285" s="105"/>
      <c r="AH285" s="105"/>
      <c r="AI285" s="105"/>
      <c r="AJ285" s="105"/>
      <c r="AK285" s="105"/>
      <c r="AL285" s="105"/>
      <c r="AM285" s="105"/>
    </row>
    <row r="286" spans="1:39" ht="15">
      <c r="A286" s="62" t="s">
        <v>244</v>
      </c>
      <c r="B286" s="62" t="s">
        <v>239</v>
      </c>
      <c r="C286" s="63" t="s">
        <v>3602</v>
      </c>
      <c r="D286" s="64">
        <v>5.526315789473684</v>
      </c>
      <c r="E286" s="65" t="s">
        <v>136</v>
      </c>
      <c r="F286" s="66">
        <v>31.0188679245283</v>
      </c>
      <c r="G286" s="63"/>
      <c r="H286" s="67"/>
      <c r="I286" s="68"/>
      <c r="J286" s="68"/>
      <c r="K286" s="31" t="s">
        <v>65</v>
      </c>
      <c r="L286" s="76">
        <v>286</v>
      </c>
      <c r="M286" s="76"/>
      <c r="N286" s="70"/>
      <c r="O286" s="78" t="s">
        <v>305</v>
      </c>
      <c r="P286" s="78" t="s">
        <v>394</v>
      </c>
      <c r="Q286" s="78" t="s">
        <v>800</v>
      </c>
      <c r="R286" s="78" t="s">
        <v>1355</v>
      </c>
      <c r="S286" s="78"/>
      <c r="T286" s="78"/>
      <c r="U286" s="78"/>
      <c r="V286" s="78"/>
      <c r="W286" s="81" t="s">
        <v>1674</v>
      </c>
      <c r="X286" s="81" t="s">
        <v>1674</v>
      </c>
      <c r="Y286" s="78"/>
      <c r="Z286" s="78"/>
      <c r="AA286" s="81" t="s">
        <v>1674</v>
      </c>
      <c r="AB286" s="79">
        <v>3</v>
      </c>
      <c r="AC286" s="80" t="str">
        <f>REPLACE(INDEX(GroupVertices[Group],MATCH("~"&amp;Edges[[#This Row],[Vertex 1]],GroupVertices[Vertex],0)),1,1,"")</f>
        <v>5</v>
      </c>
      <c r="AD286" s="80" t="str">
        <f>REPLACE(INDEX(GroupVertices[Group],MATCH("~"&amp;Edges[[#This Row],[Vertex 2]],GroupVertices[Vertex],0)),1,1,"")</f>
        <v>5</v>
      </c>
      <c r="AE286" s="105"/>
      <c r="AF286" s="105"/>
      <c r="AG286" s="105"/>
      <c r="AH286" s="105"/>
      <c r="AI286" s="105"/>
      <c r="AJ286" s="105"/>
      <c r="AK286" s="105"/>
      <c r="AL286" s="105"/>
      <c r="AM286" s="105"/>
    </row>
    <row r="287" spans="1:39" ht="15">
      <c r="A287" s="62" t="s">
        <v>261</v>
      </c>
      <c r="B287" s="62" t="s">
        <v>239</v>
      </c>
      <c r="C287" s="63" t="s">
        <v>3598</v>
      </c>
      <c r="D287" s="64">
        <v>5</v>
      </c>
      <c r="E287" s="65" t="s">
        <v>132</v>
      </c>
      <c r="F287" s="66">
        <v>32</v>
      </c>
      <c r="G287" s="63"/>
      <c r="H287" s="67"/>
      <c r="I287" s="68"/>
      <c r="J287" s="68"/>
      <c r="K287" s="31" t="s">
        <v>65</v>
      </c>
      <c r="L287" s="76">
        <v>287</v>
      </c>
      <c r="M287" s="76"/>
      <c r="N287" s="70"/>
      <c r="O287" s="78" t="s">
        <v>305</v>
      </c>
      <c r="P287" s="78" t="s">
        <v>395</v>
      </c>
      <c r="Q287" s="78" t="s">
        <v>801</v>
      </c>
      <c r="R287" s="78" t="s">
        <v>1356</v>
      </c>
      <c r="S287" s="78"/>
      <c r="T287" s="78"/>
      <c r="U287" s="78"/>
      <c r="V287" s="78"/>
      <c r="W287" s="81" t="s">
        <v>1674</v>
      </c>
      <c r="X287" s="81" t="s">
        <v>1674</v>
      </c>
      <c r="Y287" s="78"/>
      <c r="Z287" s="78"/>
      <c r="AA287" s="81" t="s">
        <v>1674</v>
      </c>
      <c r="AB287" s="79">
        <v>1</v>
      </c>
      <c r="AC287" s="80" t="str">
        <f>REPLACE(INDEX(GroupVertices[Group],MATCH("~"&amp;Edges[[#This Row],[Vertex 1]],GroupVertices[Vertex],0)),1,1,"")</f>
        <v>2</v>
      </c>
      <c r="AD287" s="80" t="str">
        <f>REPLACE(INDEX(GroupVertices[Group],MATCH("~"&amp;Edges[[#This Row],[Vertex 2]],GroupVertices[Vertex],0)),1,1,"")</f>
        <v>5</v>
      </c>
      <c r="AE287" s="105"/>
      <c r="AF287" s="105"/>
      <c r="AG287" s="105"/>
      <c r="AH287" s="105"/>
      <c r="AI287" s="105"/>
      <c r="AJ287" s="105"/>
      <c r="AK287" s="105"/>
      <c r="AL287" s="105"/>
      <c r="AM287" s="105"/>
    </row>
    <row r="288" spans="1:39" ht="15">
      <c r="A288" s="62" t="s">
        <v>228</v>
      </c>
      <c r="B288" s="62" t="s">
        <v>239</v>
      </c>
      <c r="C288" s="63" t="s">
        <v>3598</v>
      </c>
      <c r="D288" s="64">
        <v>5.2631578947368425</v>
      </c>
      <c r="E288" s="65" t="s">
        <v>136</v>
      </c>
      <c r="F288" s="66">
        <v>31.50943396226415</v>
      </c>
      <c r="G288" s="63"/>
      <c r="H288" s="67"/>
      <c r="I288" s="68"/>
      <c r="J288" s="68"/>
      <c r="K288" s="31" t="s">
        <v>65</v>
      </c>
      <c r="L288" s="76">
        <v>288</v>
      </c>
      <c r="M288" s="76"/>
      <c r="N288" s="70"/>
      <c r="O288" s="78" t="s">
        <v>305</v>
      </c>
      <c r="P288" s="78" t="s">
        <v>396</v>
      </c>
      <c r="Q288" s="78" t="s">
        <v>802</v>
      </c>
      <c r="R288" s="78" t="s">
        <v>1357</v>
      </c>
      <c r="S288" s="78"/>
      <c r="T288" s="78"/>
      <c r="U288" s="78"/>
      <c r="V288" s="78"/>
      <c r="W288" s="81" t="s">
        <v>1674</v>
      </c>
      <c r="X288" s="81" t="s">
        <v>1674</v>
      </c>
      <c r="Y288" s="78"/>
      <c r="Z288" s="78"/>
      <c r="AA288" s="81" t="s">
        <v>1674</v>
      </c>
      <c r="AB288" s="79">
        <v>2</v>
      </c>
      <c r="AC288" s="80" t="str">
        <f>REPLACE(INDEX(GroupVertices[Group],MATCH("~"&amp;Edges[[#This Row],[Vertex 1]],GroupVertices[Vertex],0)),1,1,"")</f>
        <v>1</v>
      </c>
      <c r="AD288" s="80" t="str">
        <f>REPLACE(INDEX(GroupVertices[Group],MATCH("~"&amp;Edges[[#This Row],[Vertex 2]],GroupVertices[Vertex],0)),1,1,"")</f>
        <v>5</v>
      </c>
      <c r="AE288" s="105"/>
      <c r="AF288" s="105"/>
      <c r="AG288" s="105"/>
      <c r="AH288" s="105"/>
      <c r="AI288" s="105"/>
      <c r="AJ288" s="105"/>
      <c r="AK288" s="105"/>
      <c r="AL288" s="105"/>
      <c r="AM288" s="105"/>
    </row>
    <row r="289" spans="1:39" ht="15">
      <c r="A289" s="62" t="s">
        <v>228</v>
      </c>
      <c r="B289" s="62" t="s">
        <v>239</v>
      </c>
      <c r="C289" s="63" t="s">
        <v>3598</v>
      </c>
      <c r="D289" s="64">
        <v>5.2631578947368425</v>
      </c>
      <c r="E289" s="65" t="s">
        <v>136</v>
      </c>
      <c r="F289" s="66">
        <v>31.50943396226415</v>
      </c>
      <c r="G289" s="63"/>
      <c r="H289" s="67"/>
      <c r="I289" s="68"/>
      <c r="J289" s="68"/>
      <c r="K289" s="31" t="s">
        <v>65</v>
      </c>
      <c r="L289" s="76">
        <v>289</v>
      </c>
      <c r="M289" s="76"/>
      <c r="N289" s="70"/>
      <c r="O289" s="78" t="s">
        <v>305</v>
      </c>
      <c r="P289" s="78" t="s">
        <v>396</v>
      </c>
      <c r="Q289" s="78" t="s">
        <v>802</v>
      </c>
      <c r="R289" s="78" t="s">
        <v>1358</v>
      </c>
      <c r="S289" s="78"/>
      <c r="T289" s="78"/>
      <c r="U289" s="78"/>
      <c r="V289" s="78"/>
      <c r="W289" s="81" t="s">
        <v>1674</v>
      </c>
      <c r="X289" s="81" t="s">
        <v>1674</v>
      </c>
      <c r="Y289" s="78"/>
      <c r="Z289" s="78"/>
      <c r="AA289" s="81" t="s">
        <v>1674</v>
      </c>
      <c r="AB289" s="79">
        <v>2</v>
      </c>
      <c r="AC289" s="80" t="str">
        <f>REPLACE(INDEX(GroupVertices[Group],MATCH("~"&amp;Edges[[#This Row],[Vertex 1]],GroupVertices[Vertex],0)),1,1,"")</f>
        <v>1</v>
      </c>
      <c r="AD289" s="80" t="str">
        <f>REPLACE(INDEX(GroupVertices[Group],MATCH("~"&amp;Edges[[#This Row],[Vertex 2]],GroupVertices[Vertex],0)),1,1,"")</f>
        <v>5</v>
      </c>
      <c r="AE289" s="105"/>
      <c r="AF289" s="105"/>
      <c r="AG289" s="105"/>
      <c r="AH289" s="105"/>
      <c r="AI289" s="105"/>
      <c r="AJ289" s="105"/>
      <c r="AK289" s="105"/>
      <c r="AL289" s="105"/>
      <c r="AM289" s="105"/>
    </row>
    <row r="290" spans="1:39" ht="15">
      <c r="A290" s="62" t="s">
        <v>267</v>
      </c>
      <c r="B290" s="62" t="s">
        <v>239</v>
      </c>
      <c r="C290" s="63" t="s">
        <v>3598</v>
      </c>
      <c r="D290" s="64">
        <v>5</v>
      </c>
      <c r="E290" s="65" t="s">
        <v>132</v>
      </c>
      <c r="F290" s="66">
        <v>32</v>
      </c>
      <c r="G290" s="63"/>
      <c r="H290" s="67"/>
      <c r="I290" s="68"/>
      <c r="J290" s="68"/>
      <c r="K290" s="31" t="s">
        <v>65</v>
      </c>
      <c r="L290" s="76">
        <v>290</v>
      </c>
      <c r="M290" s="76"/>
      <c r="N290" s="70"/>
      <c r="O290" s="78" t="s">
        <v>305</v>
      </c>
      <c r="P290" s="78" t="s">
        <v>393</v>
      </c>
      <c r="Q290" s="78" t="s">
        <v>803</v>
      </c>
      <c r="R290" s="78" t="s">
        <v>1354</v>
      </c>
      <c r="S290" s="78"/>
      <c r="T290" s="78"/>
      <c r="U290" s="78"/>
      <c r="V290" s="78"/>
      <c r="W290" s="81" t="s">
        <v>1674</v>
      </c>
      <c r="X290" s="81" t="s">
        <v>1674</v>
      </c>
      <c r="Y290" s="78"/>
      <c r="Z290" s="78"/>
      <c r="AA290" s="81" t="s">
        <v>1674</v>
      </c>
      <c r="AB290" s="79">
        <v>1</v>
      </c>
      <c r="AC290" s="80" t="str">
        <f>REPLACE(INDEX(GroupVertices[Group],MATCH("~"&amp;Edges[[#This Row],[Vertex 1]],GroupVertices[Vertex],0)),1,1,"")</f>
        <v>1</v>
      </c>
      <c r="AD290" s="80" t="str">
        <f>REPLACE(INDEX(GroupVertices[Group],MATCH("~"&amp;Edges[[#This Row],[Vertex 2]],GroupVertices[Vertex],0)),1,1,"")</f>
        <v>5</v>
      </c>
      <c r="AE290" s="105"/>
      <c r="AF290" s="105"/>
      <c r="AG290" s="105"/>
      <c r="AH290" s="105"/>
      <c r="AI290" s="105"/>
      <c r="AJ290" s="105"/>
      <c r="AK290" s="105"/>
      <c r="AL290" s="105"/>
      <c r="AM290" s="105"/>
    </row>
    <row r="291" spans="1:39" ht="15">
      <c r="A291" s="62" t="s">
        <v>252</v>
      </c>
      <c r="B291" s="62" t="s">
        <v>249</v>
      </c>
      <c r="C291" s="63" t="s">
        <v>3598</v>
      </c>
      <c r="D291" s="64">
        <v>5</v>
      </c>
      <c r="E291" s="65" t="s">
        <v>132</v>
      </c>
      <c r="F291" s="66">
        <v>32</v>
      </c>
      <c r="G291" s="63"/>
      <c r="H291" s="67"/>
      <c r="I291" s="68"/>
      <c r="J291" s="68"/>
      <c r="K291" s="31" t="s">
        <v>65</v>
      </c>
      <c r="L291" s="76">
        <v>291</v>
      </c>
      <c r="M291" s="76"/>
      <c r="N291" s="70"/>
      <c r="O291" s="78" t="s">
        <v>305</v>
      </c>
      <c r="P291" s="78" t="s">
        <v>397</v>
      </c>
      <c r="Q291" s="78" t="s">
        <v>804</v>
      </c>
      <c r="R291" s="78" t="s">
        <v>1359</v>
      </c>
      <c r="S291" s="78"/>
      <c r="T291" s="78"/>
      <c r="U291" s="78"/>
      <c r="V291" s="78"/>
      <c r="W291" s="81" t="s">
        <v>1674</v>
      </c>
      <c r="X291" s="81" t="s">
        <v>1674</v>
      </c>
      <c r="Y291" s="78"/>
      <c r="Z291" s="78"/>
      <c r="AA291" s="81" t="s">
        <v>1674</v>
      </c>
      <c r="AB291" s="79">
        <v>1</v>
      </c>
      <c r="AC291" s="80" t="str">
        <f>REPLACE(INDEX(GroupVertices[Group],MATCH("~"&amp;Edges[[#This Row],[Vertex 1]],GroupVertices[Vertex],0)),1,1,"")</f>
        <v>1</v>
      </c>
      <c r="AD291" s="80" t="str">
        <f>REPLACE(INDEX(GroupVertices[Group],MATCH("~"&amp;Edges[[#This Row],[Vertex 2]],GroupVertices[Vertex],0)),1,1,"")</f>
        <v>2</v>
      </c>
      <c r="AE291" s="105"/>
      <c r="AF291" s="105"/>
      <c r="AG291" s="105"/>
      <c r="AH291" s="105"/>
      <c r="AI291" s="105"/>
      <c r="AJ291" s="105"/>
      <c r="AK291" s="105"/>
      <c r="AL291" s="105"/>
      <c r="AM291" s="105"/>
    </row>
    <row r="292" spans="1:39" ht="15">
      <c r="A292" s="62" t="s">
        <v>269</v>
      </c>
      <c r="B292" s="62" t="s">
        <v>252</v>
      </c>
      <c r="C292" s="63" t="s">
        <v>3598</v>
      </c>
      <c r="D292" s="64">
        <v>5</v>
      </c>
      <c r="E292" s="65" t="s">
        <v>132</v>
      </c>
      <c r="F292" s="66">
        <v>32</v>
      </c>
      <c r="G292" s="63"/>
      <c r="H292" s="67"/>
      <c r="I292" s="68"/>
      <c r="J292" s="68"/>
      <c r="K292" s="31" t="s">
        <v>65</v>
      </c>
      <c r="L292" s="76">
        <v>292</v>
      </c>
      <c r="M292" s="76"/>
      <c r="N292" s="70"/>
      <c r="O292" s="78" t="s">
        <v>305</v>
      </c>
      <c r="P292" s="78" t="s">
        <v>398</v>
      </c>
      <c r="Q292" s="78" t="s">
        <v>805</v>
      </c>
      <c r="R292" s="78" t="s">
        <v>1360</v>
      </c>
      <c r="S292" s="78"/>
      <c r="T292" s="78"/>
      <c r="U292" s="78"/>
      <c r="V292" s="78"/>
      <c r="W292" s="81" t="s">
        <v>1674</v>
      </c>
      <c r="X292" s="81" t="s">
        <v>1674</v>
      </c>
      <c r="Y292" s="78"/>
      <c r="Z292" s="78"/>
      <c r="AA292" s="81" t="s">
        <v>1674</v>
      </c>
      <c r="AB292" s="79">
        <v>1</v>
      </c>
      <c r="AC292" s="80" t="str">
        <f>REPLACE(INDEX(GroupVertices[Group],MATCH("~"&amp;Edges[[#This Row],[Vertex 1]],GroupVertices[Vertex],0)),1,1,"")</f>
        <v>2</v>
      </c>
      <c r="AD292" s="80" t="str">
        <f>REPLACE(INDEX(GroupVertices[Group],MATCH("~"&amp;Edges[[#This Row],[Vertex 2]],GroupVertices[Vertex],0)),1,1,"")</f>
        <v>1</v>
      </c>
      <c r="AE292" s="105"/>
      <c r="AF292" s="105"/>
      <c r="AG292" s="105"/>
      <c r="AH292" s="105"/>
      <c r="AI292" s="105"/>
      <c r="AJ292" s="105"/>
      <c r="AK292" s="105"/>
      <c r="AL292" s="105"/>
      <c r="AM292" s="105"/>
    </row>
    <row r="293" spans="1:39" ht="15">
      <c r="A293" s="62" t="s">
        <v>257</v>
      </c>
      <c r="B293" s="62" t="s">
        <v>252</v>
      </c>
      <c r="C293" s="63" t="s">
        <v>3598</v>
      </c>
      <c r="D293" s="64">
        <v>5.2631578947368425</v>
      </c>
      <c r="E293" s="65" t="s">
        <v>136</v>
      </c>
      <c r="F293" s="66">
        <v>31.50943396226415</v>
      </c>
      <c r="G293" s="63"/>
      <c r="H293" s="67"/>
      <c r="I293" s="68"/>
      <c r="J293" s="68"/>
      <c r="K293" s="31" t="s">
        <v>65</v>
      </c>
      <c r="L293" s="76">
        <v>293</v>
      </c>
      <c r="M293" s="76"/>
      <c r="N293" s="70"/>
      <c r="O293" s="78" t="s">
        <v>305</v>
      </c>
      <c r="P293" s="78" t="s">
        <v>359</v>
      </c>
      <c r="Q293" s="78" t="s">
        <v>734</v>
      </c>
      <c r="R293" s="78" t="s">
        <v>717</v>
      </c>
      <c r="S293" s="78"/>
      <c r="T293" s="78"/>
      <c r="U293" s="78"/>
      <c r="V293" s="78"/>
      <c r="W293" s="81" t="s">
        <v>1674</v>
      </c>
      <c r="X293" s="81" t="s">
        <v>1674</v>
      </c>
      <c r="Y293" s="78"/>
      <c r="Z293" s="78"/>
      <c r="AA293" s="81" t="s">
        <v>1674</v>
      </c>
      <c r="AB293" s="79">
        <v>2</v>
      </c>
      <c r="AC293" s="80" t="str">
        <f>REPLACE(INDEX(GroupVertices[Group],MATCH("~"&amp;Edges[[#This Row],[Vertex 1]],GroupVertices[Vertex],0)),1,1,"")</f>
        <v>1</v>
      </c>
      <c r="AD293" s="80" t="str">
        <f>REPLACE(INDEX(GroupVertices[Group],MATCH("~"&amp;Edges[[#This Row],[Vertex 2]],GroupVertices[Vertex],0)),1,1,"")</f>
        <v>1</v>
      </c>
      <c r="AE293" s="105"/>
      <c r="AF293" s="105"/>
      <c r="AG293" s="105"/>
      <c r="AH293" s="105"/>
      <c r="AI293" s="105"/>
      <c r="AJ293" s="105"/>
      <c r="AK293" s="105"/>
      <c r="AL293" s="105"/>
      <c r="AM293" s="105"/>
    </row>
    <row r="294" spans="1:39" ht="15">
      <c r="A294" s="62" t="s">
        <v>257</v>
      </c>
      <c r="B294" s="62" t="s">
        <v>252</v>
      </c>
      <c r="C294" s="63" t="s">
        <v>3598</v>
      </c>
      <c r="D294" s="64">
        <v>5.2631578947368425</v>
      </c>
      <c r="E294" s="65" t="s">
        <v>136</v>
      </c>
      <c r="F294" s="66">
        <v>31.50943396226415</v>
      </c>
      <c r="G294" s="63"/>
      <c r="H294" s="67"/>
      <c r="I294" s="68"/>
      <c r="J294" s="68"/>
      <c r="K294" s="31" t="s">
        <v>65</v>
      </c>
      <c r="L294" s="76">
        <v>294</v>
      </c>
      <c r="M294" s="76"/>
      <c r="N294" s="70"/>
      <c r="O294" s="78" t="s">
        <v>305</v>
      </c>
      <c r="P294" s="78" t="s">
        <v>359</v>
      </c>
      <c r="Q294" s="78" t="s">
        <v>735</v>
      </c>
      <c r="R294" s="78" t="s">
        <v>717</v>
      </c>
      <c r="S294" s="78"/>
      <c r="T294" s="78"/>
      <c r="U294" s="78"/>
      <c r="V294" s="78"/>
      <c r="W294" s="81" t="s">
        <v>1674</v>
      </c>
      <c r="X294" s="81" t="s">
        <v>1674</v>
      </c>
      <c r="Y294" s="78"/>
      <c r="Z294" s="78"/>
      <c r="AA294" s="81" t="s">
        <v>1674</v>
      </c>
      <c r="AB294" s="79">
        <v>2</v>
      </c>
      <c r="AC294" s="80" t="str">
        <f>REPLACE(INDEX(GroupVertices[Group],MATCH("~"&amp;Edges[[#This Row],[Vertex 1]],GroupVertices[Vertex],0)),1,1,"")</f>
        <v>1</v>
      </c>
      <c r="AD294" s="80" t="str">
        <f>REPLACE(INDEX(GroupVertices[Group],MATCH("~"&amp;Edges[[#This Row],[Vertex 2]],GroupVertices[Vertex],0)),1,1,"")</f>
        <v>1</v>
      </c>
      <c r="AE294" s="105"/>
      <c r="AF294" s="105"/>
      <c r="AG294" s="105"/>
      <c r="AH294" s="105"/>
      <c r="AI294" s="105"/>
      <c r="AJ294" s="105"/>
      <c r="AK294" s="105"/>
      <c r="AL294" s="105"/>
      <c r="AM294" s="105"/>
    </row>
    <row r="295" spans="1:39" ht="15">
      <c r="A295" s="62" t="s">
        <v>267</v>
      </c>
      <c r="B295" s="62" t="s">
        <v>252</v>
      </c>
      <c r="C295" s="63" t="s">
        <v>3599</v>
      </c>
      <c r="D295" s="64">
        <v>6.052631578947368</v>
      </c>
      <c r="E295" s="65" t="s">
        <v>136</v>
      </c>
      <c r="F295" s="66">
        <v>30.037735849056602</v>
      </c>
      <c r="G295" s="63"/>
      <c r="H295" s="67"/>
      <c r="I295" s="68"/>
      <c r="J295" s="68"/>
      <c r="K295" s="31" t="s">
        <v>65</v>
      </c>
      <c r="L295" s="76">
        <v>295</v>
      </c>
      <c r="M295" s="76"/>
      <c r="N295" s="70"/>
      <c r="O295" s="78" t="s">
        <v>305</v>
      </c>
      <c r="P295" s="78" t="s">
        <v>399</v>
      </c>
      <c r="Q295" s="78" t="s">
        <v>806</v>
      </c>
      <c r="R295" s="78" t="s">
        <v>1361</v>
      </c>
      <c r="S295" s="78"/>
      <c r="T295" s="78"/>
      <c r="U295" s="78"/>
      <c r="V295" s="78"/>
      <c r="W295" s="81" t="s">
        <v>1674</v>
      </c>
      <c r="X295" s="81" t="s">
        <v>1674</v>
      </c>
      <c r="Y295" s="78"/>
      <c r="Z295" s="78"/>
      <c r="AA295" s="81" t="s">
        <v>1674</v>
      </c>
      <c r="AB295" s="79">
        <v>5</v>
      </c>
      <c r="AC295" s="80" t="str">
        <f>REPLACE(INDEX(GroupVertices[Group],MATCH("~"&amp;Edges[[#This Row],[Vertex 1]],GroupVertices[Vertex],0)),1,1,"")</f>
        <v>1</v>
      </c>
      <c r="AD295" s="80" t="str">
        <f>REPLACE(INDEX(GroupVertices[Group],MATCH("~"&amp;Edges[[#This Row],[Vertex 2]],GroupVertices[Vertex],0)),1,1,"")</f>
        <v>1</v>
      </c>
      <c r="AE295" s="105"/>
      <c r="AF295" s="105"/>
      <c r="AG295" s="105"/>
      <c r="AH295" s="105"/>
      <c r="AI295" s="105"/>
      <c r="AJ295" s="105"/>
      <c r="AK295" s="105"/>
      <c r="AL295" s="105"/>
      <c r="AM295" s="105"/>
    </row>
    <row r="296" spans="1:39" ht="15">
      <c r="A296" s="62" t="s">
        <v>267</v>
      </c>
      <c r="B296" s="62" t="s">
        <v>252</v>
      </c>
      <c r="C296" s="63" t="s">
        <v>3599</v>
      </c>
      <c r="D296" s="64">
        <v>6.052631578947368</v>
      </c>
      <c r="E296" s="65" t="s">
        <v>136</v>
      </c>
      <c r="F296" s="66">
        <v>30.037735849056602</v>
      </c>
      <c r="G296" s="63"/>
      <c r="H296" s="67"/>
      <c r="I296" s="68"/>
      <c r="J296" s="68"/>
      <c r="K296" s="31" t="s">
        <v>65</v>
      </c>
      <c r="L296" s="76">
        <v>296</v>
      </c>
      <c r="M296" s="76"/>
      <c r="N296" s="70"/>
      <c r="O296" s="78" t="s">
        <v>305</v>
      </c>
      <c r="P296" s="78" t="s">
        <v>400</v>
      </c>
      <c r="Q296" s="78" t="s">
        <v>807</v>
      </c>
      <c r="R296" s="78" t="s">
        <v>1362</v>
      </c>
      <c r="S296" s="78"/>
      <c r="T296" s="78"/>
      <c r="U296" s="78"/>
      <c r="V296" s="78"/>
      <c r="W296" s="81" t="s">
        <v>1674</v>
      </c>
      <c r="X296" s="81" t="s">
        <v>1674</v>
      </c>
      <c r="Y296" s="78"/>
      <c r="Z296" s="78"/>
      <c r="AA296" s="81" t="s">
        <v>1674</v>
      </c>
      <c r="AB296" s="79">
        <v>5</v>
      </c>
      <c r="AC296" s="80" t="str">
        <f>REPLACE(INDEX(GroupVertices[Group],MATCH("~"&amp;Edges[[#This Row],[Vertex 1]],GroupVertices[Vertex],0)),1,1,"")</f>
        <v>1</v>
      </c>
      <c r="AD296" s="80" t="str">
        <f>REPLACE(INDEX(GroupVertices[Group],MATCH("~"&amp;Edges[[#This Row],[Vertex 2]],GroupVertices[Vertex],0)),1,1,"")</f>
        <v>1</v>
      </c>
      <c r="AE296" s="105"/>
      <c r="AF296" s="105"/>
      <c r="AG296" s="105"/>
      <c r="AH296" s="105"/>
      <c r="AI296" s="105"/>
      <c r="AJ296" s="105"/>
      <c r="AK296" s="105"/>
      <c r="AL296" s="105"/>
      <c r="AM296" s="105"/>
    </row>
    <row r="297" spans="1:39" ht="15">
      <c r="A297" s="62" t="s">
        <v>267</v>
      </c>
      <c r="B297" s="62" t="s">
        <v>252</v>
      </c>
      <c r="C297" s="63" t="s">
        <v>3599</v>
      </c>
      <c r="D297" s="64">
        <v>6.052631578947368</v>
      </c>
      <c r="E297" s="65" t="s">
        <v>136</v>
      </c>
      <c r="F297" s="66">
        <v>30.037735849056602</v>
      </c>
      <c r="G297" s="63"/>
      <c r="H297" s="67"/>
      <c r="I297" s="68"/>
      <c r="J297" s="68"/>
      <c r="K297" s="31" t="s">
        <v>65</v>
      </c>
      <c r="L297" s="76">
        <v>297</v>
      </c>
      <c r="M297" s="76"/>
      <c r="N297" s="70"/>
      <c r="O297" s="78" t="s">
        <v>305</v>
      </c>
      <c r="P297" s="78" t="s">
        <v>400</v>
      </c>
      <c r="Q297" s="78" t="s">
        <v>807</v>
      </c>
      <c r="R297" s="78" t="s">
        <v>1363</v>
      </c>
      <c r="S297" s="78"/>
      <c r="T297" s="78"/>
      <c r="U297" s="78"/>
      <c r="V297" s="78"/>
      <c r="W297" s="81" t="s">
        <v>1674</v>
      </c>
      <c r="X297" s="81" t="s">
        <v>1674</v>
      </c>
      <c r="Y297" s="78"/>
      <c r="Z297" s="78"/>
      <c r="AA297" s="81" t="s">
        <v>1674</v>
      </c>
      <c r="AB297" s="79">
        <v>5</v>
      </c>
      <c r="AC297" s="80" t="str">
        <f>REPLACE(INDEX(GroupVertices[Group],MATCH("~"&amp;Edges[[#This Row],[Vertex 1]],GroupVertices[Vertex],0)),1,1,"")</f>
        <v>1</v>
      </c>
      <c r="AD297" s="80" t="str">
        <f>REPLACE(INDEX(GroupVertices[Group],MATCH("~"&amp;Edges[[#This Row],[Vertex 2]],GroupVertices[Vertex],0)),1,1,"")</f>
        <v>1</v>
      </c>
      <c r="AE297" s="105"/>
      <c r="AF297" s="105"/>
      <c r="AG297" s="105"/>
      <c r="AH297" s="105"/>
      <c r="AI297" s="105"/>
      <c r="AJ297" s="105"/>
      <c r="AK297" s="105"/>
      <c r="AL297" s="105"/>
      <c r="AM297" s="105"/>
    </row>
    <row r="298" spans="1:39" ht="15">
      <c r="A298" s="62" t="s">
        <v>267</v>
      </c>
      <c r="B298" s="62" t="s">
        <v>252</v>
      </c>
      <c r="C298" s="63" t="s">
        <v>3599</v>
      </c>
      <c r="D298" s="64">
        <v>6.052631578947368</v>
      </c>
      <c r="E298" s="65" t="s">
        <v>136</v>
      </c>
      <c r="F298" s="66">
        <v>30.037735849056602</v>
      </c>
      <c r="G298" s="63"/>
      <c r="H298" s="67"/>
      <c r="I298" s="68"/>
      <c r="J298" s="68"/>
      <c r="K298" s="31" t="s">
        <v>65</v>
      </c>
      <c r="L298" s="76">
        <v>298</v>
      </c>
      <c r="M298" s="76"/>
      <c r="N298" s="70"/>
      <c r="O298" s="78" t="s">
        <v>305</v>
      </c>
      <c r="P298" s="78" t="s">
        <v>401</v>
      </c>
      <c r="Q298" s="78" t="s">
        <v>808</v>
      </c>
      <c r="R298" s="78" t="s">
        <v>1364</v>
      </c>
      <c r="S298" s="78"/>
      <c r="T298" s="78"/>
      <c r="U298" s="78"/>
      <c r="V298" s="78"/>
      <c r="W298" s="81" t="s">
        <v>1674</v>
      </c>
      <c r="X298" s="81" t="s">
        <v>1674</v>
      </c>
      <c r="Y298" s="78"/>
      <c r="Z298" s="78"/>
      <c r="AA298" s="81" t="s">
        <v>1674</v>
      </c>
      <c r="AB298" s="79">
        <v>5</v>
      </c>
      <c r="AC298" s="80" t="str">
        <f>REPLACE(INDEX(GroupVertices[Group],MATCH("~"&amp;Edges[[#This Row],[Vertex 1]],GroupVertices[Vertex],0)),1,1,"")</f>
        <v>1</v>
      </c>
      <c r="AD298" s="80" t="str">
        <f>REPLACE(INDEX(GroupVertices[Group],MATCH("~"&amp;Edges[[#This Row],[Vertex 2]],GroupVertices[Vertex],0)),1,1,"")</f>
        <v>1</v>
      </c>
      <c r="AE298" s="105"/>
      <c r="AF298" s="105"/>
      <c r="AG298" s="105"/>
      <c r="AH298" s="105"/>
      <c r="AI298" s="105"/>
      <c r="AJ298" s="105"/>
      <c r="AK298" s="105"/>
      <c r="AL298" s="105"/>
      <c r="AM298" s="105"/>
    </row>
    <row r="299" spans="1:39" ht="15">
      <c r="A299" s="62" t="s">
        <v>267</v>
      </c>
      <c r="B299" s="62" t="s">
        <v>252</v>
      </c>
      <c r="C299" s="63" t="s">
        <v>3599</v>
      </c>
      <c r="D299" s="64">
        <v>6.052631578947368</v>
      </c>
      <c r="E299" s="65" t="s">
        <v>136</v>
      </c>
      <c r="F299" s="66">
        <v>30.037735849056602</v>
      </c>
      <c r="G299" s="63"/>
      <c r="H299" s="67"/>
      <c r="I299" s="68"/>
      <c r="J299" s="68"/>
      <c r="K299" s="31" t="s">
        <v>65</v>
      </c>
      <c r="L299" s="76">
        <v>299</v>
      </c>
      <c r="M299" s="76"/>
      <c r="N299" s="70"/>
      <c r="O299" s="78" t="s">
        <v>305</v>
      </c>
      <c r="P299" s="78" t="s">
        <v>401</v>
      </c>
      <c r="Q299" s="78" t="s">
        <v>808</v>
      </c>
      <c r="R299" s="78" t="s">
        <v>1365</v>
      </c>
      <c r="S299" s="78"/>
      <c r="T299" s="78"/>
      <c r="U299" s="78"/>
      <c r="V299" s="78"/>
      <c r="W299" s="81" t="s">
        <v>1674</v>
      </c>
      <c r="X299" s="81" t="s">
        <v>1674</v>
      </c>
      <c r="Y299" s="78"/>
      <c r="Z299" s="78"/>
      <c r="AA299" s="81" t="s">
        <v>1674</v>
      </c>
      <c r="AB299" s="79">
        <v>5</v>
      </c>
      <c r="AC299" s="80" t="str">
        <f>REPLACE(INDEX(GroupVertices[Group],MATCH("~"&amp;Edges[[#This Row],[Vertex 1]],GroupVertices[Vertex],0)),1,1,"")</f>
        <v>1</v>
      </c>
      <c r="AD299" s="80" t="str">
        <f>REPLACE(INDEX(GroupVertices[Group],MATCH("~"&amp;Edges[[#This Row],[Vertex 2]],GroupVertices[Vertex],0)),1,1,"")</f>
        <v>1</v>
      </c>
      <c r="AE299" s="105"/>
      <c r="AF299" s="105"/>
      <c r="AG299" s="105"/>
      <c r="AH299" s="105"/>
      <c r="AI299" s="105"/>
      <c r="AJ299" s="105"/>
      <c r="AK299" s="105"/>
      <c r="AL299" s="105"/>
      <c r="AM299" s="105"/>
    </row>
    <row r="300" spans="1:39" ht="15">
      <c r="A300" s="62" t="s">
        <v>249</v>
      </c>
      <c r="B300" s="62" t="s">
        <v>295</v>
      </c>
      <c r="C300" s="63" t="s">
        <v>3598</v>
      </c>
      <c r="D300" s="64">
        <v>5</v>
      </c>
      <c r="E300" s="65" t="s">
        <v>132</v>
      </c>
      <c r="F300" s="66">
        <v>32</v>
      </c>
      <c r="G300" s="63"/>
      <c r="H300" s="67"/>
      <c r="I300" s="68"/>
      <c r="J300" s="68"/>
      <c r="K300" s="31" t="s">
        <v>65</v>
      </c>
      <c r="L300" s="76">
        <v>300</v>
      </c>
      <c r="M300" s="76"/>
      <c r="N300" s="70"/>
      <c r="O300" s="78" t="s">
        <v>305</v>
      </c>
      <c r="P300" s="78" t="s">
        <v>402</v>
      </c>
      <c r="Q300" s="78" t="s">
        <v>809</v>
      </c>
      <c r="R300" s="78" t="s">
        <v>1366</v>
      </c>
      <c r="S300" s="78"/>
      <c r="T300" s="78"/>
      <c r="U300" s="78"/>
      <c r="V300" s="78"/>
      <c r="W300" s="81" t="s">
        <v>1674</v>
      </c>
      <c r="X300" s="81" t="s">
        <v>1674</v>
      </c>
      <c r="Y300" s="78"/>
      <c r="Z300" s="78"/>
      <c r="AA300" s="81" t="s">
        <v>1674</v>
      </c>
      <c r="AB300" s="79">
        <v>1</v>
      </c>
      <c r="AC300" s="80" t="str">
        <f>REPLACE(INDEX(GroupVertices[Group],MATCH("~"&amp;Edges[[#This Row],[Vertex 1]],GroupVertices[Vertex],0)),1,1,"")</f>
        <v>2</v>
      </c>
      <c r="AD300" s="80" t="str">
        <f>REPLACE(INDEX(GroupVertices[Group],MATCH("~"&amp;Edges[[#This Row],[Vertex 2]],GroupVertices[Vertex],0)),1,1,"")</f>
        <v>2</v>
      </c>
      <c r="AE300" s="105"/>
      <c r="AF300" s="105"/>
      <c r="AG300" s="105"/>
      <c r="AH300" s="105"/>
      <c r="AI300" s="105"/>
      <c r="AJ300" s="105"/>
      <c r="AK300" s="105"/>
      <c r="AL300" s="105"/>
      <c r="AM300" s="105"/>
    </row>
    <row r="301" spans="1:39" ht="15">
      <c r="A301" s="62" t="s">
        <v>241</v>
      </c>
      <c r="B301" s="62" t="s">
        <v>295</v>
      </c>
      <c r="C301" s="63" t="s">
        <v>3606</v>
      </c>
      <c r="D301" s="64">
        <v>9.473684210526315</v>
      </c>
      <c r="E301" s="65" t="s">
        <v>136</v>
      </c>
      <c r="F301" s="66">
        <v>23.660377358490564</v>
      </c>
      <c r="G301" s="63"/>
      <c r="H301" s="67"/>
      <c r="I301" s="68"/>
      <c r="J301" s="68"/>
      <c r="K301" s="31" t="s">
        <v>65</v>
      </c>
      <c r="L301" s="76">
        <v>301</v>
      </c>
      <c r="M301" s="76"/>
      <c r="N301" s="70"/>
      <c r="O301" s="78" t="s">
        <v>305</v>
      </c>
      <c r="P301" s="78" t="s">
        <v>320</v>
      </c>
      <c r="Q301" s="78" t="s">
        <v>810</v>
      </c>
      <c r="R301" s="78" t="s">
        <v>1262</v>
      </c>
      <c r="S301" s="78"/>
      <c r="T301" s="78"/>
      <c r="U301" s="78"/>
      <c r="V301" s="78"/>
      <c r="W301" s="81" t="s">
        <v>1674</v>
      </c>
      <c r="X301" s="81" t="s">
        <v>1674</v>
      </c>
      <c r="Y301" s="78"/>
      <c r="Z301" s="78"/>
      <c r="AA301" s="81" t="s">
        <v>1674</v>
      </c>
      <c r="AB301" s="79">
        <v>18</v>
      </c>
      <c r="AC301" s="80" t="str">
        <f>REPLACE(INDEX(GroupVertices[Group],MATCH("~"&amp;Edges[[#This Row],[Vertex 1]],GroupVertices[Vertex],0)),1,1,"")</f>
        <v>2</v>
      </c>
      <c r="AD301" s="80" t="str">
        <f>REPLACE(INDEX(GroupVertices[Group],MATCH("~"&amp;Edges[[#This Row],[Vertex 2]],GroupVertices[Vertex],0)),1,1,"")</f>
        <v>2</v>
      </c>
      <c r="AE301" s="105"/>
      <c r="AF301" s="105"/>
      <c r="AG301" s="105"/>
      <c r="AH301" s="105"/>
      <c r="AI301" s="105"/>
      <c r="AJ301" s="105"/>
      <c r="AK301" s="105"/>
      <c r="AL301" s="105"/>
      <c r="AM301" s="105"/>
    </row>
    <row r="302" spans="1:39" ht="15">
      <c r="A302" s="62" t="s">
        <v>241</v>
      </c>
      <c r="B302" s="62" t="s">
        <v>295</v>
      </c>
      <c r="C302" s="63" t="s">
        <v>3606</v>
      </c>
      <c r="D302" s="64">
        <v>9.473684210526315</v>
      </c>
      <c r="E302" s="65" t="s">
        <v>136</v>
      </c>
      <c r="F302" s="66">
        <v>23.660377358490564</v>
      </c>
      <c r="G302" s="63"/>
      <c r="H302" s="67"/>
      <c r="I302" s="68"/>
      <c r="J302" s="68"/>
      <c r="K302" s="31" t="s">
        <v>65</v>
      </c>
      <c r="L302" s="76">
        <v>302</v>
      </c>
      <c r="M302" s="76"/>
      <c r="N302" s="70"/>
      <c r="O302" s="78" t="s">
        <v>305</v>
      </c>
      <c r="P302" s="78" t="s">
        <v>320</v>
      </c>
      <c r="Q302" s="78" t="s">
        <v>810</v>
      </c>
      <c r="R302" s="78" t="s">
        <v>1263</v>
      </c>
      <c r="S302" s="78"/>
      <c r="T302" s="78"/>
      <c r="U302" s="78"/>
      <c r="V302" s="78"/>
      <c r="W302" s="81" t="s">
        <v>1674</v>
      </c>
      <c r="X302" s="81" t="s">
        <v>1674</v>
      </c>
      <c r="Y302" s="78"/>
      <c r="Z302" s="78"/>
      <c r="AA302" s="81" t="s">
        <v>1674</v>
      </c>
      <c r="AB302" s="79">
        <v>18</v>
      </c>
      <c r="AC302" s="80" t="str">
        <f>REPLACE(INDEX(GroupVertices[Group],MATCH("~"&amp;Edges[[#This Row],[Vertex 1]],GroupVertices[Vertex],0)),1,1,"")</f>
        <v>2</v>
      </c>
      <c r="AD302" s="80" t="str">
        <f>REPLACE(INDEX(GroupVertices[Group],MATCH("~"&amp;Edges[[#This Row],[Vertex 2]],GroupVertices[Vertex],0)),1,1,"")</f>
        <v>2</v>
      </c>
      <c r="AE302" s="105"/>
      <c r="AF302" s="105"/>
      <c r="AG302" s="105"/>
      <c r="AH302" s="105"/>
      <c r="AI302" s="105"/>
      <c r="AJ302" s="105"/>
      <c r="AK302" s="105"/>
      <c r="AL302" s="105"/>
      <c r="AM302" s="105"/>
    </row>
    <row r="303" spans="1:39" ht="15">
      <c r="A303" s="62" t="s">
        <v>241</v>
      </c>
      <c r="B303" s="62" t="s">
        <v>295</v>
      </c>
      <c r="C303" s="63" t="s">
        <v>3606</v>
      </c>
      <c r="D303" s="64">
        <v>9.473684210526315</v>
      </c>
      <c r="E303" s="65" t="s">
        <v>136</v>
      </c>
      <c r="F303" s="66">
        <v>23.660377358490564</v>
      </c>
      <c r="G303" s="63"/>
      <c r="H303" s="67"/>
      <c r="I303" s="68"/>
      <c r="J303" s="68"/>
      <c r="K303" s="31" t="s">
        <v>65</v>
      </c>
      <c r="L303" s="76">
        <v>303</v>
      </c>
      <c r="M303" s="76"/>
      <c r="N303" s="70"/>
      <c r="O303" s="78" t="s">
        <v>305</v>
      </c>
      <c r="P303" s="78" t="s">
        <v>403</v>
      </c>
      <c r="Q303" s="78" t="s">
        <v>811</v>
      </c>
      <c r="R303" s="78" t="s">
        <v>1367</v>
      </c>
      <c r="S303" s="78"/>
      <c r="T303" s="78"/>
      <c r="U303" s="78"/>
      <c r="V303" s="78"/>
      <c r="W303" s="81" t="s">
        <v>1674</v>
      </c>
      <c r="X303" s="81" t="s">
        <v>1674</v>
      </c>
      <c r="Y303" s="78"/>
      <c r="Z303" s="78"/>
      <c r="AA303" s="81" t="s">
        <v>1674</v>
      </c>
      <c r="AB303" s="79">
        <v>18</v>
      </c>
      <c r="AC303" s="80" t="str">
        <f>REPLACE(INDEX(GroupVertices[Group],MATCH("~"&amp;Edges[[#This Row],[Vertex 1]],GroupVertices[Vertex],0)),1,1,"")</f>
        <v>2</v>
      </c>
      <c r="AD303" s="80" t="str">
        <f>REPLACE(INDEX(GroupVertices[Group],MATCH("~"&amp;Edges[[#This Row],[Vertex 2]],GroupVertices[Vertex],0)),1,1,"")</f>
        <v>2</v>
      </c>
      <c r="AE303" s="105"/>
      <c r="AF303" s="105"/>
      <c r="AG303" s="105"/>
      <c r="AH303" s="105"/>
      <c r="AI303" s="105"/>
      <c r="AJ303" s="105"/>
      <c r="AK303" s="105"/>
      <c r="AL303" s="105"/>
      <c r="AM303" s="105"/>
    </row>
    <row r="304" spans="1:39" ht="15">
      <c r="A304" s="62" t="s">
        <v>241</v>
      </c>
      <c r="B304" s="62" t="s">
        <v>295</v>
      </c>
      <c r="C304" s="63" t="s">
        <v>3606</v>
      </c>
      <c r="D304" s="64">
        <v>9.473684210526315</v>
      </c>
      <c r="E304" s="65" t="s">
        <v>136</v>
      </c>
      <c r="F304" s="66">
        <v>23.660377358490564</v>
      </c>
      <c r="G304" s="63"/>
      <c r="H304" s="67"/>
      <c r="I304" s="68"/>
      <c r="J304" s="68"/>
      <c r="K304" s="31" t="s">
        <v>65</v>
      </c>
      <c r="L304" s="76">
        <v>304</v>
      </c>
      <c r="M304" s="76"/>
      <c r="N304" s="70"/>
      <c r="O304" s="78" t="s">
        <v>305</v>
      </c>
      <c r="P304" s="78" t="s">
        <v>403</v>
      </c>
      <c r="Q304" s="78" t="s">
        <v>811</v>
      </c>
      <c r="R304" s="78" t="s">
        <v>1368</v>
      </c>
      <c r="S304" s="78"/>
      <c r="T304" s="78"/>
      <c r="U304" s="78"/>
      <c r="V304" s="78"/>
      <c r="W304" s="81" t="s">
        <v>1674</v>
      </c>
      <c r="X304" s="81" t="s">
        <v>1674</v>
      </c>
      <c r="Y304" s="78"/>
      <c r="Z304" s="78"/>
      <c r="AA304" s="81" t="s">
        <v>1674</v>
      </c>
      <c r="AB304" s="79">
        <v>18</v>
      </c>
      <c r="AC304" s="80" t="str">
        <f>REPLACE(INDEX(GroupVertices[Group],MATCH("~"&amp;Edges[[#This Row],[Vertex 1]],GroupVertices[Vertex],0)),1,1,"")</f>
        <v>2</v>
      </c>
      <c r="AD304" s="80" t="str">
        <f>REPLACE(INDEX(GroupVertices[Group],MATCH("~"&amp;Edges[[#This Row],[Vertex 2]],GroupVertices[Vertex],0)),1,1,"")</f>
        <v>2</v>
      </c>
      <c r="AE304" s="105"/>
      <c r="AF304" s="105"/>
      <c r="AG304" s="105"/>
      <c r="AH304" s="105"/>
      <c r="AI304" s="105"/>
      <c r="AJ304" s="105"/>
      <c r="AK304" s="105"/>
      <c r="AL304" s="105"/>
      <c r="AM304" s="105"/>
    </row>
    <row r="305" spans="1:39" ht="15">
      <c r="A305" s="62" t="s">
        <v>241</v>
      </c>
      <c r="B305" s="62" t="s">
        <v>295</v>
      </c>
      <c r="C305" s="63" t="s">
        <v>3606</v>
      </c>
      <c r="D305" s="64">
        <v>9.473684210526315</v>
      </c>
      <c r="E305" s="65" t="s">
        <v>136</v>
      </c>
      <c r="F305" s="66">
        <v>23.660377358490564</v>
      </c>
      <c r="G305" s="63"/>
      <c r="H305" s="67"/>
      <c r="I305" s="68"/>
      <c r="J305" s="68"/>
      <c r="K305" s="31" t="s">
        <v>65</v>
      </c>
      <c r="L305" s="76">
        <v>305</v>
      </c>
      <c r="M305" s="76"/>
      <c r="N305" s="70"/>
      <c r="O305" s="78" t="s">
        <v>305</v>
      </c>
      <c r="P305" s="78" t="s">
        <v>403</v>
      </c>
      <c r="Q305" s="78" t="s">
        <v>811</v>
      </c>
      <c r="R305" s="78" t="s">
        <v>1369</v>
      </c>
      <c r="S305" s="78"/>
      <c r="T305" s="78"/>
      <c r="U305" s="78"/>
      <c r="V305" s="78"/>
      <c r="W305" s="81" t="s">
        <v>1674</v>
      </c>
      <c r="X305" s="81" t="s">
        <v>1674</v>
      </c>
      <c r="Y305" s="78"/>
      <c r="Z305" s="78"/>
      <c r="AA305" s="81" t="s">
        <v>1674</v>
      </c>
      <c r="AB305" s="79">
        <v>18</v>
      </c>
      <c r="AC305" s="80" t="str">
        <f>REPLACE(INDEX(GroupVertices[Group],MATCH("~"&amp;Edges[[#This Row],[Vertex 1]],GroupVertices[Vertex],0)),1,1,"")</f>
        <v>2</v>
      </c>
      <c r="AD305" s="80" t="str">
        <f>REPLACE(INDEX(GroupVertices[Group],MATCH("~"&amp;Edges[[#This Row],[Vertex 2]],GroupVertices[Vertex],0)),1,1,"")</f>
        <v>2</v>
      </c>
      <c r="AE305" s="105"/>
      <c r="AF305" s="105"/>
      <c r="AG305" s="105"/>
      <c r="AH305" s="105"/>
      <c r="AI305" s="105"/>
      <c r="AJ305" s="105"/>
      <c r="AK305" s="105"/>
      <c r="AL305" s="105"/>
      <c r="AM305" s="105"/>
    </row>
    <row r="306" spans="1:39" ht="15">
      <c r="A306" s="62" t="s">
        <v>241</v>
      </c>
      <c r="B306" s="62" t="s">
        <v>295</v>
      </c>
      <c r="C306" s="63" t="s">
        <v>3606</v>
      </c>
      <c r="D306" s="64">
        <v>9.473684210526315</v>
      </c>
      <c r="E306" s="65" t="s">
        <v>136</v>
      </c>
      <c r="F306" s="66">
        <v>23.660377358490564</v>
      </c>
      <c r="G306" s="63"/>
      <c r="H306" s="67"/>
      <c r="I306" s="68"/>
      <c r="J306" s="68"/>
      <c r="K306" s="31" t="s">
        <v>65</v>
      </c>
      <c r="L306" s="76">
        <v>306</v>
      </c>
      <c r="M306" s="76"/>
      <c r="N306" s="70"/>
      <c r="O306" s="78" t="s">
        <v>305</v>
      </c>
      <c r="P306" s="78" t="s">
        <v>403</v>
      </c>
      <c r="Q306" s="78" t="s">
        <v>812</v>
      </c>
      <c r="R306" s="78" t="s">
        <v>1367</v>
      </c>
      <c r="S306" s="78"/>
      <c r="T306" s="78"/>
      <c r="U306" s="78"/>
      <c r="V306" s="78"/>
      <c r="W306" s="81" t="s">
        <v>1674</v>
      </c>
      <c r="X306" s="81" t="s">
        <v>1674</v>
      </c>
      <c r="Y306" s="78"/>
      <c r="Z306" s="78"/>
      <c r="AA306" s="81" t="s">
        <v>1674</v>
      </c>
      <c r="AB306" s="79">
        <v>18</v>
      </c>
      <c r="AC306" s="80" t="str">
        <f>REPLACE(INDEX(GroupVertices[Group],MATCH("~"&amp;Edges[[#This Row],[Vertex 1]],GroupVertices[Vertex],0)),1,1,"")</f>
        <v>2</v>
      </c>
      <c r="AD306" s="80" t="str">
        <f>REPLACE(INDEX(GroupVertices[Group],MATCH("~"&amp;Edges[[#This Row],[Vertex 2]],GroupVertices[Vertex],0)),1,1,"")</f>
        <v>2</v>
      </c>
      <c r="AE306" s="105"/>
      <c r="AF306" s="105"/>
      <c r="AG306" s="105"/>
      <c r="AH306" s="105"/>
      <c r="AI306" s="105"/>
      <c r="AJ306" s="105"/>
      <c r="AK306" s="105"/>
      <c r="AL306" s="105"/>
      <c r="AM306" s="105"/>
    </row>
    <row r="307" spans="1:39" ht="15">
      <c r="A307" s="62" t="s">
        <v>241</v>
      </c>
      <c r="B307" s="62" t="s">
        <v>295</v>
      </c>
      <c r="C307" s="63" t="s">
        <v>3606</v>
      </c>
      <c r="D307" s="64">
        <v>9.473684210526315</v>
      </c>
      <c r="E307" s="65" t="s">
        <v>136</v>
      </c>
      <c r="F307" s="66">
        <v>23.660377358490564</v>
      </c>
      <c r="G307" s="63"/>
      <c r="H307" s="67"/>
      <c r="I307" s="68"/>
      <c r="J307" s="68"/>
      <c r="K307" s="31" t="s">
        <v>65</v>
      </c>
      <c r="L307" s="76">
        <v>307</v>
      </c>
      <c r="M307" s="76"/>
      <c r="N307" s="70"/>
      <c r="O307" s="78" t="s">
        <v>305</v>
      </c>
      <c r="P307" s="78" t="s">
        <v>403</v>
      </c>
      <c r="Q307" s="78" t="s">
        <v>812</v>
      </c>
      <c r="R307" s="78" t="s">
        <v>1368</v>
      </c>
      <c r="S307" s="78"/>
      <c r="T307" s="78"/>
      <c r="U307" s="78"/>
      <c r="V307" s="78"/>
      <c r="W307" s="81" t="s">
        <v>1674</v>
      </c>
      <c r="X307" s="81" t="s">
        <v>1674</v>
      </c>
      <c r="Y307" s="78"/>
      <c r="Z307" s="78"/>
      <c r="AA307" s="81" t="s">
        <v>1674</v>
      </c>
      <c r="AB307" s="79">
        <v>18</v>
      </c>
      <c r="AC307" s="80" t="str">
        <f>REPLACE(INDEX(GroupVertices[Group],MATCH("~"&amp;Edges[[#This Row],[Vertex 1]],GroupVertices[Vertex],0)),1,1,"")</f>
        <v>2</v>
      </c>
      <c r="AD307" s="80" t="str">
        <f>REPLACE(INDEX(GroupVertices[Group],MATCH("~"&amp;Edges[[#This Row],[Vertex 2]],GroupVertices[Vertex],0)),1,1,"")</f>
        <v>2</v>
      </c>
      <c r="AE307" s="105"/>
      <c r="AF307" s="105"/>
      <c r="AG307" s="105"/>
      <c r="AH307" s="105"/>
      <c r="AI307" s="105"/>
      <c r="AJ307" s="105"/>
      <c r="AK307" s="105"/>
      <c r="AL307" s="105"/>
      <c r="AM307" s="105"/>
    </row>
    <row r="308" spans="1:39" ht="15">
      <c r="A308" s="62" t="s">
        <v>241</v>
      </c>
      <c r="B308" s="62" t="s">
        <v>295</v>
      </c>
      <c r="C308" s="63" t="s">
        <v>3606</v>
      </c>
      <c r="D308" s="64">
        <v>9.473684210526315</v>
      </c>
      <c r="E308" s="65" t="s">
        <v>136</v>
      </c>
      <c r="F308" s="66">
        <v>23.660377358490564</v>
      </c>
      <c r="G308" s="63"/>
      <c r="H308" s="67"/>
      <c r="I308" s="68"/>
      <c r="J308" s="68"/>
      <c r="K308" s="31" t="s">
        <v>65</v>
      </c>
      <c r="L308" s="76">
        <v>308</v>
      </c>
      <c r="M308" s="76"/>
      <c r="N308" s="70"/>
      <c r="O308" s="78" t="s">
        <v>305</v>
      </c>
      <c r="P308" s="78" t="s">
        <v>403</v>
      </c>
      <c r="Q308" s="78" t="s">
        <v>812</v>
      </c>
      <c r="R308" s="78" t="s">
        <v>1369</v>
      </c>
      <c r="S308" s="78"/>
      <c r="T308" s="78"/>
      <c r="U308" s="78"/>
      <c r="V308" s="78"/>
      <c r="W308" s="81" t="s">
        <v>1674</v>
      </c>
      <c r="X308" s="81" t="s">
        <v>1674</v>
      </c>
      <c r="Y308" s="78"/>
      <c r="Z308" s="78"/>
      <c r="AA308" s="81" t="s">
        <v>1674</v>
      </c>
      <c r="AB308" s="79">
        <v>18</v>
      </c>
      <c r="AC308" s="80" t="str">
        <f>REPLACE(INDEX(GroupVertices[Group],MATCH("~"&amp;Edges[[#This Row],[Vertex 1]],GroupVertices[Vertex],0)),1,1,"")</f>
        <v>2</v>
      </c>
      <c r="AD308" s="80" t="str">
        <f>REPLACE(INDEX(GroupVertices[Group],MATCH("~"&amp;Edges[[#This Row],[Vertex 2]],GroupVertices[Vertex],0)),1,1,"")</f>
        <v>2</v>
      </c>
      <c r="AE308" s="105"/>
      <c r="AF308" s="105"/>
      <c r="AG308" s="105"/>
      <c r="AH308" s="105"/>
      <c r="AI308" s="105"/>
      <c r="AJ308" s="105"/>
      <c r="AK308" s="105"/>
      <c r="AL308" s="105"/>
      <c r="AM308" s="105"/>
    </row>
    <row r="309" spans="1:39" ht="15">
      <c r="A309" s="62" t="s">
        <v>241</v>
      </c>
      <c r="B309" s="62" t="s">
        <v>295</v>
      </c>
      <c r="C309" s="63" t="s">
        <v>3606</v>
      </c>
      <c r="D309" s="64">
        <v>9.473684210526315</v>
      </c>
      <c r="E309" s="65" t="s">
        <v>136</v>
      </c>
      <c r="F309" s="66">
        <v>23.660377358490564</v>
      </c>
      <c r="G309" s="63"/>
      <c r="H309" s="67"/>
      <c r="I309" s="68"/>
      <c r="J309" s="68"/>
      <c r="K309" s="31" t="s">
        <v>65</v>
      </c>
      <c r="L309" s="76">
        <v>309</v>
      </c>
      <c r="M309" s="76"/>
      <c r="N309" s="70"/>
      <c r="O309" s="78" t="s">
        <v>305</v>
      </c>
      <c r="P309" s="78" t="s">
        <v>403</v>
      </c>
      <c r="Q309" s="78" t="s">
        <v>813</v>
      </c>
      <c r="R309" s="78" t="s">
        <v>1367</v>
      </c>
      <c r="S309" s="78"/>
      <c r="T309" s="78"/>
      <c r="U309" s="78"/>
      <c r="V309" s="78"/>
      <c r="W309" s="81" t="s">
        <v>1674</v>
      </c>
      <c r="X309" s="81" t="s">
        <v>1674</v>
      </c>
      <c r="Y309" s="78"/>
      <c r="Z309" s="78"/>
      <c r="AA309" s="81" t="s">
        <v>1674</v>
      </c>
      <c r="AB309" s="79">
        <v>18</v>
      </c>
      <c r="AC309" s="80" t="str">
        <f>REPLACE(INDEX(GroupVertices[Group],MATCH("~"&amp;Edges[[#This Row],[Vertex 1]],GroupVertices[Vertex],0)),1,1,"")</f>
        <v>2</v>
      </c>
      <c r="AD309" s="80" t="str">
        <f>REPLACE(INDEX(GroupVertices[Group],MATCH("~"&amp;Edges[[#This Row],[Vertex 2]],GroupVertices[Vertex],0)),1,1,"")</f>
        <v>2</v>
      </c>
      <c r="AE309" s="105"/>
      <c r="AF309" s="105"/>
      <c r="AG309" s="105"/>
      <c r="AH309" s="105"/>
      <c r="AI309" s="105"/>
      <c r="AJ309" s="105"/>
      <c r="AK309" s="105"/>
      <c r="AL309" s="105"/>
      <c r="AM309" s="105"/>
    </row>
    <row r="310" spans="1:39" ht="15">
      <c r="A310" s="62" t="s">
        <v>241</v>
      </c>
      <c r="B310" s="62" t="s">
        <v>295</v>
      </c>
      <c r="C310" s="63" t="s">
        <v>3606</v>
      </c>
      <c r="D310" s="64">
        <v>9.473684210526315</v>
      </c>
      <c r="E310" s="65" t="s">
        <v>136</v>
      </c>
      <c r="F310" s="66">
        <v>23.660377358490564</v>
      </c>
      <c r="G310" s="63"/>
      <c r="H310" s="67"/>
      <c r="I310" s="68"/>
      <c r="J310" s="68"/>
      <c r="K310" s="31" t="s">
        <v>65</v>
      </c>
      <c r="L310" s="76">
        <v>310</v>
      </c>
      <c r="M310" s="76"/>
      <c r="N310" s="70"/>
      <c r="O310" s="78" t="s">
        <v>305</v>
      </c>
      <c r="P310" s="78" t="s">
        <v>403</v>
      </c>
      <c r="Q310" s="78" t="s">
        <v>813</v>
      </c>
      <c r="R310" s="78" t="s">
        <v>1368</v>
      </c>
      <c r="S310" s="78"/>
      <c r="T310" s="78"/>
      <c r="U310" s="78"/>
      <c r="V310" s="78"/>
      <c r="W310" s="81" t="s">
        <v>1674</v>
      </c>
      <c r="X310" s="81" t="s">
        <v>1674</v>
      </c>
      <c r="Y310" s="78"/>
      <c r="Z310" s="78"/>
      <c r="AA310" s="81" t="s">
        <v>1674</v>
      </c>
      <c r="AB310" s="79">
        <v>18</v>
      </c>
      <c r="AC310" s="80" t="str">
        <f>REPLACE(INDEX(GroupVertices[Group],MATCH("~"&amp;Edges[[#This Row],[Vertex 1]],GroupVertices[Vertex],0)),1,1,"")</f>
        <v>2</v>
      </c>
      <c r="AD310" s="80" t="str">
        <f>REPLACE(INDEX(GroupVertices[Group],MATCH("~"&amp;Edges[[#This Row],[Vertex 2]],GroupVertices[Vertex],0)),1,1,"")</f>
        <v>2</v>
      </c>
      <c r="AE310" s="105"/>
      <c r="AF310" s="105"/>
      <c r="AG310" s="105"/>
      <c r="AH310" s="105"/>
      <c r="AI310" s="105"/>
      <c r="AJ310" s="105"/>
      <c r="AK310" s="105"/>
      <c r="AL310" s="105"/>
      <c r="AM310" s="105"/>
    </row>
    <row r="311" spans="1:39" ht="15">
      <c r="A311" s="62" t="s">
        <v>241</v>
      </c>
      <c r="B311" s="62" t="s">
        <v>295</v>
      </c>
      <c r="C311" s="63" t="s">
        <v>3606</v>
      </c>
      <c r="D311" s="64">
        <v>9.473684210526315</v>
      </c>
      <c r="E311" s="65" t="s">
        <v>136</v>
      </c>
      <c r="F311" s="66">
        <v>23.660377358490564</v>
      </c>
      <c r="G311" s="63"/>
      <c r="H311" s="67"/>
      <c r="I311" s="68"/>
      <c r="J311" s="68"/>
      <c r="K311" s="31" t="s">
        <v>65</v>
      </c>
      <c r="L311" s="76">
        <v>311</v>
      </c>
      <c r="M311" s="76"/>
      <c r="N311" s="70"/>
      <c r="O311" s="78" t="s">
        <v>305</v>
      </c>
      <c r="P311" s="78" t="s">
        <v>403</v>
      </c>
      <c r="Q311" s="78" t="s">
        <v>813</v>
      </c>
      <c r="R311" s="78" t="s">
        <v>1369</v>
      </c>
      <c r="S311" s="78"/>
      <c r="T311" s="78"/>
      <c r="U311" s="78"/>
      <c r="V311" s="78"/>
      <c r="W311" s="81" t="s">
        <v>1674</v>
      </c>
      <c r="X311" s="81" t="s">
        <v>1674</v>
      </c>
      <c r="Y311" s="78"/>
      <c r="Z311" s="78"/>
      <c r="AA311" s="81" t="s">
        <v>1674</v>
      </c>
      <c r="AB311" s="79">
        <v>18</v>
      </c>
      <c r="AC311" s="80" t="str">
        <f>REPLACE(INDEX(GroupVertices[Group],MATCH("~"&amp;Edges[[#This Row],[Vertex 1]],GroupVertices[Vertex],0)),1,1,"")</f>
        <v>2</v>
      </c>
      <c r="AD311" s="80" t="str">
        <f>REPLACE(INDEX(GroupVertices[Group],MATCH("~"&amp;Edges[[#This Row],[Vertex 2]],GroupVertices[Vertex],0)),1,1,"")</f>
        <v>2</v>
      </c>
      <c r="AE311" s="105"/>
      <c r="AF311" s="105"/>
      <c r="AG311" s="105"/>
      <c r="AH311" s="105"/>
      <c r="AI311" s="105"/>
      <c r="AJ311" s="105"/>
      <c r="AK311" s="105"/>
      <c r="AL311" s="105"/>
      <c r="AM311" s="105"/>
    </row>
    <row r="312" spans="1:39" ht="15">
      <c r="A312" s="62" t="s">
        <v>241</v>
      </c>
      <c r="B312" s="62" t="s">
        <v>295</v>
      </c>
      <c r="C312" s="63" t="s">
        <v>3606</v>
      </c>
      <c r="D312" s="64">
        <v>9.473684210526315</v>
      </c>
      <c r="E312" s="65" t="s">
        <v>136</v>
      </c>
      <c r="F312" s="66">
        <v>23.660377358490564</v>
      </c>
      <c r="G312" s="63"/>
      <c r="H312" s="67"/>
      <c r="I312" s="68"/>
      <c r="J312" s="68"/>
      <c r="K312" s="31" t="s">
        <v>65</v>
      </c>
      <c r="L312" s="76">
        <v>312</v>
      </c>
      <c r="M312" s="76"/>
      <c r="N312" s="70"/>
      <c r="O312" s="78" t="s">
        <v>305</v>
      </c>
      <c r="P312" s="78" t="s">
        <v>403</v>
      </c>
      <c r="Q312" s="78" t="s">
        <v>814</v>
      </c>
      <c r="R312" s="78" t="s">
        <v>1367</v>
      </c>
      <c r="S312" s="78"/>
      <c r="T312" s="78"/>
      <c r="U312" s="78"/>
      <c r="V312" s="78"/>
      <c r="W312" s="81" t="s">
        <v>1674</v>
      </c>
      <c r="X312" s="81" t="s">
        <v>1674</v>
      </c>
      <c r="Y312" s="78"/>
      <c r="Z312" s="78"/>
      <c r="AA312" s="81" t="s">
        <v>1674</v>
      </c>
      <c r="AB312" s="79">
        <v>18</v>
      </c>
      <c r="AC312" s="80" t="str">
        <f>REPLACE(INDEX(GroupVertices[Group],MATCH("~"&amp;Edges[[#This Row],[Vertex 1]],GroupVertices[Vertex],0)),1,1,"")</f>
        <v>2</v>
      </c>
      <c r="AD312" s="80" t="str">
        <f>REPLACE(INDEX(GroupVertices[Group],MATCH("~"&amp;Edges[[#This Row],[Vertex 2]],GroupVertices[Vertex],0)),1,1,"")</f>
        <v>2</v>
      </c>
      <c r="AE312" s="105"/>
      <c r="AF312" s="105"/>
      <c r="AG312" s="105"/>
      <c r="AH312" s="105"/>
      <c r="AI312" s="105"/>
      <c r="AJ312" s="105"/>
      <c r="AK312" s="105"/>
      <c r="AL312" s="105"/>
      <c r="AM312" s="105"/>
    </row>
    <row r="313" spans="1:39" ht="15">
      <c r="A313" s="62" t="s">
        <v>241</v>
      </c>
      <c r="B313" s="62" t="s">
        <v>295</v>
      </c>
      <c r="C313" s="63" t="s">
        <v>3606</v>
      </c>
      <c r="D313" s="64">
        <v>9.473684210526315</v>
      </c>
      <c r="E313" s="65" t="s">
        <v>136</v>
      </c>
      <c r="F313" s="66">
        <v>23.660377358490564</v>
      </c>
      <c r="G313" s="63"/>
      <c r="H313" s="67"/>
      <c r="I313" s="68"/>
      <c r="J313" s="68"/>
      <c r="K313" s="31" t="s">
        <v>65</v>
      </c>
      <c r="L313" s="76">
        <v>313</v>
      </c>
      <c r="M313" s="76"/>
      <c r="N313" s="70"/>
      <c r="O313" s="78" t="s">
        <v>305</v>
      </c>
      <c r="P313" s="78" t="s">
        <v>403</v>
      </c>
      <c r="Q313" s="78" t="s">
        <v>814</v>
      </c>
      <c r="R313" s="78" t="s">
        <v>1368</v>
      </c>
      <c r="S313" s="78"/>
      <c r="T313" s="78"/>
      <c r="U313" s="78"/>
      <c r="V313" s="78"/>
      <c r="W313" s="81" t="s">
        <v>1674</v>
      </c>
      <c r="X313" s="81" t="s">
        <v>1674</v>
      </c>
      <c r="Y313" s="78"/>
      <c r="Z313" s="78"/>
      <c r="AA313" s="81" t="s">
        <v>1674</v>
      </c>
      <c r="AB313" s="79">
        <v>18</v>
      </c>
      <c r="AC313" s="80" t="str">
        <f>REPLACE(INDEX(GroupVertices[Group],MATCH("~"&amp;Edges[[#This Row],[Vertex 1]],GroupVertices[Vertex],0)),1,1,"")</f>
        <v>2</v>
      </c>
      <c r="AD313" s="80" t="str">
        <f>REPLACE(INDEX(GroupVertices[Group],MATCH("~"&amp;Edges[[#This Row],[Vertex 2]],GroupVertices[Vertex],0)),1,1,"")</f>
        <v>2</v>
      </c>
      <c r="AE313" s="105"/>
      <c r="AF313" s="105"/>
      <c r="AG313" s="105"/>
      <c r="AH313" s="105"/>
      <c r="AI313" s="105"/>
      <c r="AJ313" s="105"/>
      <c r="AK313" s="105"/>
      <c r="AL313" s="105"/>
      <c r="AM313" s="105"/>
    </row>
    <row r="314" spans="1:39" ht="15">
      <c r="A314" s="62" t="s">
        <v>241</v>
      </c>
      <c r="B314" s="62" t="s">
        <v>295</v>
      </c>
      <c r="C314" s="63" t="s">
        <v>3606</v>
      </c>
      <c r="D314" s="64">
        <v>9.473684210526315</v>
      </c>
      <c r="E314" s="65" t="s">
        <v>136</v>
      </c>
      <c r="F314" s="66">
        <v>23.660377358490564</v>
      </c>
      <c r="G314" s="63"/>
      <c r="H314" s="67"/>
      <c r="I314" s="68"/>
      <c r="J314" s="68"/>
      <c r="K314" s="31" t="s">
        <v>65</v>
      </c>
      <c r="L314" s="76">
        <v>314</v>
      </c>
      <c r="M314" s="76"/>
      <c r="N314" s="70"/>
      <c r="O314" s="78" t="s">
        <v>305</v>
      </c>
      <c r="P314" s="78" t="s">
        <v>403</v>
      </c>
      <c r="Q314" s="78" t="s">
        <v>814</v>
      </c>
      <c r="R314" s="78" t="s">
        <v>1369</v>
      </c>
      <c r="S314" s="78"/>
      <c r="T314" s="78"/>
      <c r="U314" s="78"/>
      <c r="V314" s="78"/>
      <c r="W314" s="81" t="s">
        <v>1674</v>
      </c>
      <c r="X314" s="81" t="s">
        <v>1674</v>
      </c>
      <c r="Y314" s="78"/>
      <c r="Z314" s="78"/>
      <c r="AA314" s="81" t="s">
        <v>1674</v>
      </c>
      <c r="AB314" s="79">
        <v>18</v>
      </c>
      <c r="AC314" s="80" t="str">
        <f>REPLACE(INDEX(GroupVertices[Group],MATCH("~"&amp;Edges[[#This Row],[Vertex 1]],GroupVertices[Vertex],0)),1,1,"")</f>
        <v>2</v>
      </c>
      <c r="AD314" s="80" t="str">
        <f>REPLACE(INDEX(GroupVertices[Group],MATCH("~"&amp;Edges[[#This Row],[Vertex 2]],GroupVertices[Vertex],0)),1,1,"")</f>
        <v>2</v>
      </c>
      <c r="AE314" s="105"/>
      <c r="AF314" s="105"/>
      <c r="AG314" s="105"/>
      <c r="AH314" s="105"/>
      <c r="AI314" s="105"/>
      <c r="AJ314" s="105"/>
      <c r="AK314" s="105"/>
      <c r="AL314" s="105"/>
      <c r="AM314" s="105"/>
    </row>
    <row r="315" spans="1:39" ht="15">
      <c r="A315" s="62" t="s">
        <v>241</v>
      </c>
      <c r="B315" s="62" t="s">
        <v>295</v>
      </c>
      <c r="C315" s="63" t="s">
        <v>3606</v>
      </c>
      <c r="D315" s="64">
        <v>9.473684210526315</v>
      </c>
      <c r="E315" s="65" t="s">
        <v>136</v>
      </c>
      <c r="F315" s="66">
        <v>23.660377358490564</v>
      </c>
      <c r="G315" s="63"/>
      <c r="H315" s="67"/>
      <c r="I315" s="68"/>
      <c r="J315" s="68"/>
      <c r="K315" s="31" t="s">
        <v>65</v>
      </c>
      <c r="L315" s="76">
        <v>315</v>
      </c>
      <c r="M315" s="76"/>
      <c r="N315" s="70"/>
      <c r="O315" s="78" t="s">
        <v>305</v>
      </c>
      <c r="P315" s="78" t="s">
        <v>403</v>
      </c>
      <c r="Q315" s="78" t="s">
        <v>815</v>
      </c>
      <c r="R315" s="78" t="s">
        <v>1367</v>
      </c>
      <c r="S315" s="78"/>
      <c r="T315" s="78"/>
      <c r="U315" s="78"/>
      <c r="V315" s="78"/>
      <c r="W315" s="81" t="s">
        <v>1674</v>
      </c>
      <c r="X315" s="81" t="s">
        <v>1674</v>
      </c>
      <c r="Y315" s="78"/>
      <c r="Z315" s="78"/>
      <c r="AA315" s="81" t="s">
        <v>1674</v>
      </c>
      <c r="AB315" s="79">
        <v>18</v>
      </c>
      <c r="AC315" s="80" t="str">
        <f>REPLACE(INDEX(GroupVertices[Group],MATCH("~"&amp;Edges[[#This Row],[Vertex 1]],GroupVertices[Vertex],0)),1,1,"")</f>
        <v>2</v>
      </c>
      <c r="AD315" s="80" t="str">
        <f>REPLACE(INDEX(GroupVertices[Group],MATCH("~"&amp;Edges[[#This Row],[Vertex 2]],GroupVertices[Vertex],0)),1,1,"")</f>
        <v>2</v>
      </c>
      <c r="AE315" s="105"/>
      <c r="AF315" s="105"/>
      <c r="AG315" s="105"/>
      <c r="AH315" s="105"/>
      <c r="AI315" s="105"/>
      <c r="AJ315" s="105"/>
      <c r="AK315" s="105"/>
      <c r="AL315" s="105"/>
      <c r="AM315" s="105"/>
    </row>
    <row r="316" spans="1:39" ht="15">
      <c r="A316" s="62" t="s">
        <v>241</v>
      </c>
      <c r="B316" s="62" t="s">
        <v>295</v>
      </c>
      <c r="C316" s="63" t="s">
        <v>3606</v>
      </c>
      <c r="D316" s="64">
        <v>9.473684210526315</v>
      </c>
      <c r="E316" s="65" t="s">
        <v>136</v>
      </c>
      <c r="F316" s="66">
        <v>23.660377358490564</v>
      </c>
      <c r="G316" s="63"/>
      <c r="H316" s="67"/>
      <c r="I316" s="68"/>
      <c r="J316" s="68"/>
      <c r="K316" s="31" t="s">
        <v>65</v>
      </c>
      <c r="L316" s="76">
        <v>316</v>
      </c>
      <c r="M316" s="76"/>
      <c r="N316" s="70"/>
      <c r="O316" s="78" t="s">
        <v>305</v>
      </c>
      <c r="P316" s="78" t="s">
        <v>403</v>
      </c>
      <c r="Q316" s="78" t="s">
        <v>815</v>
      </c>
      <c r="R316" s="78" t="s">
        <v>1368</v>
      </c>
      <c r="S316" s="78"/>
      <c r="T316" s="78"/>
      <c r="U316" s="78"/>
      <c r="V316" s="78"/>
      <c r="W316" s="81" t="s">
        <v>1674</v>
      </c>
      <c r="X316" s="81" t="s">
        <v>1674</v>
      </c>
      <c r="Y316" s="78"/>
      <c r="Z316" s="78"/>
      <c r="AA316" s="81" t="s">
        <v>1674</v>
      </c>
      <c r="AB316" s="79">
        <v>18</v>
      </c>
      <c r="AC316" s="80" t="str">
        <f>REPLACE(INDEX(GroupVertices[Group],MATCH("~"&amp;Edges[[#This Row],[Vertex 1]],GroupVertices[Vertex],0)),1,1,"")</f>
        <v>2</v>
      </c>
      <c r="AD316" s="80" t="str">
        <f>REPLACE(INDEX(GroupVertices[Group],MATCH("~"&amp;Edges[[#This Row],[Vertex 2]],GroupVertices[Vertex],0)),1,1,"")</f>
        <v>2</v>
      </c>
      <c r="AE316" s="105"/>
      <c r="AF316" s="105"/>
      <c r="AG316" s="105"/>
      <c r="AH316" s="105"/>
      <c r="AI316" s="105"/>
      <c r="AJ316" s="105"/>
      <c r="AK316" s="105"/>
      <c r="AL316" s="105"/>
      <c r="AM316" s="105"/>
    </row>
    <row r="317" spans="1:39" ht="15">
      <c r="A317" s="62" t="s">
        <v>241</v>
      </c>
      <c r="B317" s="62" t="s">
        <v>295</v>
      </c>
      <c r="C317" s="63" t="s">
        <v>3606</v>
      </c>
      <c r="D317" s="64">
        <v>9.473684210526315</v>
      </c>
      <c r="E317" s="65" t="s">
        <v>136</v>
      </c>
      <c r="F317" s="66">
        <v>23.660377358490564</v>
      </c>
      <c r="G317" s="63"/>
      <c r="H317" s="67"/>
      <c r="I317" s="68"/>
      <c r="J317" s="68"/>
      <c r="K317" s="31" t="s">
        <v>65</v>
      </c>
      <c r="L317" s="76">
        <v>317</v>
      </c>
      <c r="M317" s="76"/>
      <c r="N317" s="70"/>
      <c r="O317" s="78" t="s">
        <v>305</v>
      </c>
      <c r="P317" s="78" t="s">
        <v>403</v>
      </c>
      <c r="Q317" s="78" t="s">
        <v>815</v>
      </c>
      <c r="R317" s="78" t="s">
        <v>1369</v>
      </c>
      <c r="S317" s="78"/>
      <c r="T317" s="78"/>
      <c r="U317" s="78"/>
      <c r="V317" s="78"/>
      <c r="W317" s="81" t="s">
        <v>1674</v>
      </c>
      <c r="X317" s="81" t="s">
        <v>1674</v>
      </c>
      <c r="Y317" s="78"/>
      <c r="Z317" s="78"/>
      <c r="AA317" s="81" t="s">
        <v>1674</v>
      </c>
      <c r="AB317" s="79">
        <v>18</v>
      </c>
      <c r="AC317" s="80" t="str">
        <f>REPLACE(INDEX(GroupVertices[Group],MATCH("~"&amp;Edges[[#This Row],[Vertex 1]],GroupVertices[Vertex],0)),1,1,"")</f>
        <v>2</v>
      </c>
      <c r="AD317" s="80" t="str">
        <f>REPLACE(INDEX(GroupVertices[Group],MATCH("~"&amp;Edges[[#This Row],[Vertex 2]],GroupVertices[Vertex],0)),1,1,"")</f>
        <v>2</v>
      </c>
      <c r="AE317" s="105"/>
      <c r="AF317" s="105"/>
      <c r="AG317" s="105"/>
      <c r="AH317" s="105"/>
      <c r="AI317" s="105"/>
      <c r="AJ317" s="105"/>
      <c r="AK317" s="105"/>
      <c r="AL317" s="105"/>
      <c r="AM317" s="105"/>
    </row>
    <row r="318" spans="1:39" ht="15">
      <c r="A318" s="62" t="s">
        <v>241</v>
      </c>
      <c r="B318" s="62" t="s">
        <v>295</v>
      </c>
      <c r="C318" s="63" t="s">
        <v>3606</v>
      </c>
      <c r="D318" s="64">
        <v>9.473684210526315</v>
      </c>
      <c r="E318" s="65" t="s">
        <v>136</v>
      </c>
      <c r="F318" s="66">
        <v>23.660377358490564</v>
      </c>
      <c r="G318" s="63"/>
      <c r="H318" s="67"/>
      <c r="I318" s="68"/>
      <c r="J318" s="68"/>
      <c r="K318" s="31" t="s">
        <v>65</v>
      </c>
      <c r="L318" s="76">
        <v>318</v>
      </c>
      <c r="M318" s="76"/>
      <c r="N318" s="70"/>
      <c r="O318" s="78" t="s">
        <v>305</v>
      </c>
      <c r="P318" s="78" t="s">
        <v>404</v>
      </c>
      <c r="Q318" s="78" t="s">
        <v>816</v>
      </c>
      <c r="R318" s="78" t="s">
        <v>1370</v>
      </c>
      <c r="S318" s="78"/>
      <c r="T318" s="78"/>
      <c r="U318" s="78"/>
      <c r="V318" s="78"/>
      <c r="W318" s="81" t="s">
        <v>1674</v>
      </c>
      <c r="X318" s="81" t="s">
        <v>1674</v>
      </c>
      <c r="Y318" s="78"/>
      <c r="Z318" s="78"/>
      <c r="AA318" s="81" t="s">
        <v>1674</v>
      </c>
      <c r="AB318" s="79">
        <v>18</v>
      </c>
      <c r="AC318" s="80" t="str">
        <f>REPLACE(INDEX(GroupVertices[Group],MATCH("~"&amp;Edges[[#This Row],[Vertex 1]],GroupVertices[Vertex],0)),1,1,"")</f>
        <v>2</v>
      </c>
      <c r="AD318" s="80" t="str">
        <f>REPLACE(INDEX(GroupVertices[Group],MATCH("~"&amp;Edges[[#This Row],[Vertex 2]],GroupVertices[Vertex],0)),1,1,"")</f>
        <v>2</v>
      </c>
      <c r="AE318" s="105"/>
      <c r="AF318" s="105"/>
      <c r="AG318" s="105"/>
      <c r="AH318" s="105"/>
      <c r="AI318" s="105"/>
      <c r="AJ318" s="105"/>
      <c r="AK318" s="105"/>
      <c r="AL318" s="105"/>
      <c r="AM318" s="105"/>
    </row>
    <row r="319" spans="1:39" ht="15">
      <c r="A319" s="62" t="s">
        <v>270</v>
      </c>
      <c r="B319" s="62" t="s">
        <v>295</v>
      </c>
      <c r="C319" s="63" t="s">
        <v>3598</v>
      </c>
      <c r="D319" s="64">
        <v>5</v>
      </c>
      <c r="E319" s="65" t="s">
        <v>132</v>
      </c>
      <c r="F319" s="66">
        <v>32</v>
      </c>
      <c r="G319" s="63"/>
      <c r="H319" s="67"/>
      <c r="I319" s="68"/>
      <c r="J319" s="68"/>
      <c r="K319" s="31" t="s">
        <v>65</v>
      </c>
      <c r="L319" s="76">
        <v>319</v>
      </c>
      <c r="M319" s="76"/>
      <c r="N319" s="70"/>
      <c r="O319" s="78" t="s">
        <v>305</v>
      </c>
      <c r="P319" s="78" t="s">
        <v>371</v>
      </c>
      <c r="Q319" s="78" t="s">
        <v>817</v>
      </c>
      <c r="R319" s="78" t="s">
        <v>1322</v>
      </c>
      <c r="S319" s="78"/>
      <c r="T319" s="78"/>
      <c r="U319" s="78"/>
      <c r="V319" s="78"/>
      <c r="W319" s="81" t="s">
        <v>1674</v>
      </c>
      <c r="X319" s="81" t="s">
        <v>1674</v>
      </c>
      <c r="Y319" s="78"/>
      <c r="Z319" s="78"/>
      <c r="AA319" s="81" t="s">
        <v>1674</v>
      </c>
      <c r="AB319" s="79">
        <v>1</v>
      </c>
      <c r="AC319" s="80" t="str">
        <f>REPLACE(INDEX(GroupVertices[Group],MATCH("~"&amp;Edges[[#This Row],[Vertex 1]],GroupVertices[Vertex],0)),1,1,"")</f>
        <v>2</v>
      </c>
      <c r="AD319" s="80" t="str">
        <f>REPLACE(INDEX(GroupVertices[Group],MATCH("~"&amp;Edges[[#This Row],[Vertex 2]],GroupVertices[Vertex],0)),1,1,"")</f>
        <v>2</v>
      </c>
      <c r="AE319" s="105"/>
      <c r="AF319" s="105"/>
      <c r="AG319" s="105"/>
      <c r="AH319" s="105"/>
      <c r="AI319" s="105"/>
      <c r="AJ319" s="105"/>
      <c r="AK319" s="105"/>
      <c r="AL319" s="105"/>
      <c r="AM319" s="105"/>
    </row>
    <row r="320" spans="1:39" ht="15">
      <c r="A320" s="62" t="s">
        <v>268</v>
      </c>
      <c r="B320" s="62" t="s">
        <v>295</v>
      </c>
      <c r="C320" s="63" t="s">
        <v>3598</v>
      </c>
      <c r="D320" s="64">
        <v>5</v>
      </c>
      <c r="E320" s="65" t="s">
        <v>132</v>
      </c>
      <c r="F320" s="66">
        <v>32</v>
      </c>
      <c r="G320" s="63"/>
      <c r="H320" s="67"/>
      <c r="I320" s="68"/>
      <c r="J320" s="68"/>
      <c r="K320" s="31" t="s">
        <v>65</v>
      </c>
      <c r="L320" s="76">
        <v>320</v>
      </c>
      <c r="M320" s="76"/>
      <c r="N320" s="70"/>
      <c r="O320" s="78" t="s">
        <v>305</v>
      </c>
      <c r="P320" s="78" t="s">
        <v>405</v>
      </c>
      <c r="Q320" s="78" t="s">
        <v>818</v>
      </c>
      <c r="R320" s="78" t="s">
        <v>1371</v>
      </c>
      <c r="S320" s="78"/>
      <c r="T320" s="78"/>
      <c r="U320" s="78"/>
      <c r="V320" s="78"/>
      <c r="W320" s="81" t="s">
        <v>1674</v>
      </c>
      <c r="X320" s="81" t="s">
        <v>1674</v>
      </c>
      <c r="Y320" s="78"/>
      <c r="Z320" s="78"/>
      <c r="AA320" s="81" t="s">
        <v>1674</v>
      </c>
      <c r="AB320" s="79">
        <v>1</v>
      </c>
      <c r="AC320" s="80" t="str">
        <f>REPLACE(INDEX(GroupVertices[Group],MATCH("~"&amp;Edges[[#This Row],[Vertex 1]],GroupVertices[Vertex],0)),1,1,"")</f>
        <v>6</v>
      </c>
      <c r="AD320" s="80" t="str">
        <f>REPLACE(INDEX(GroupVertices[Group],MATCH("~"&amp;Edges[[#This Row],[Vertex 2]],GroupVertices[Vertex],0)),1,1,"")</f>
        <v>2</v>
      </c>
      <c r="AE320" s="105"/>
      <c r="AF320" s="105"/>
      <c r="AG320" s="105"/>
      <c r="AH320" s="105"/>
      <c r="AI320" s="105"/>
      <c r="AJ320" s="105"/>
      <c r="AK320" s="105"/>
      <c r="AL320" s="105"/>
      <c r="AM320" s="105"/>
    </row>
    <row r="321" spans="1:39" ht="15">
      <c r="A321" s="62" t="s">
        <v>254</v>
      </c>
      <c r="B321" s="62" t="s">
        <v>295</v>
      </c>
      <c r="C321" s="63" t="s">
        <v>3599</v>
      </c>
      <c r="D321" s="64">
        <v>6.315789473684211</v>
      </c>
      <c r="E321" s="65" t="s">
        <v>136</v>
      </c>
      <c r="F321" s="66">
        <v>29.547169811320757</v>
      </c>
      <c r="G321" s="63"/>
      <c r="H321" s="67"/>
      <c r="I321" s="68"/>
      <c r="J321" s="68"/>
      <c r="K321" s="31" t="s">
        <v>65</v>
      </c>
      <c r="L321" s="76">
        <v>321</v>
      </c>
      <c r="M321" s="76"/>
      <c r="N321" s="70"/>
      <c r="O321" s="78" t="s">
        <v>305</v>
      </c>
      <c r="P321" s="78" t="s">
        <v>371</v>
      </c>
      <c r="Q321" s="78" t="s">
        <v>819</v>
      </c>
      <c r="R321" s="78" t="s">
        <v>1322</v>
      </c>
      <c r="S321" s="78"/>
      <c r="T321" s="78"/>
      <c r="U321" s="78"/>
      <c r="V321" s="78"/>
      <c r="W321" s="81" t="s">
        <v>1674</v>
      </c>
      <c r="X321" s="81" t="s">
        <v>1674</v>
      </c>
      <c r="Y321" s="78"/>
      <c r="Z321" s="78"/>
      <c r="AA321" s="81" t="s">
        <v>1674</v>
      </c>
      <c r="AB321" s="79">
        <v>6</v>
      </c>
      <c r="AC321" s="80" t="str">
        <f>REPLACE(INDEX(GroupVertices[Group],MATCH("~"&amp;Edges[[#This Row],[Vertex 1]],GroupVertices[Vertex],0)),1,1,"")</f>
        <v>2</v>
      </c>
      <c r="AD321" s="80" t="str">
        <f>REPLACE(INDEX(GroupVertices[Group],MATCH("~"&amp;Edges[[#This Row],[Vertex 2]],GroupVertices[Vertex],0)),1,1,"")</f>
        <v>2</v>
      </c>
      <c r="AE321" s="105"/>
      <c r="AF321" s="105"/>
      <c r="AG321" s="105"/>
      <c r="AH321" s="105"/>
      <c r="AI321" s="105"/>
      <c r="AJ321" s="105"/>
      <c r="AK321" s="105"/>
      <c r="AL321" s="105"/>
      <c r="AM321" s="105"/>
    </row>
    <row r="322" spans="1:39" ht="15">
      <c r="A322" s="62" t="s">
        <v>254</v>
      </c>
      <c r="B322" s="62" t="s">
        <v>295</v>
      </c>
      <c r="C322" s="63" t="s">
        <v>3599</v>
      </c>
      <c r="D322" s="64">
        <v>6.315789473684211</v>
      </c>
      <c r="E322" s="65" t="s">
        <v>136</v>
      </c>
      <c r="F322" s="66">
        <v>29.547169811320757</v>
      </c>
      <c r="G322" s="63"/>
      <c r="H322" s="67"/>
      <c r="I322" s="68"/>
      <c r="J322" s="68"/>
      <c r="K322" s="31" t="s">
        <v>65</v>
      </c>
      <c r="L322" s="76">
        <v>322</v>
      </c>
      <c r="M322" s="76"/>
      <c r="N322" s="70"/>
      <c r="O322" s="78" t="s">
        <v>305</v>
      </c>
      <c r="P322" s="78" t="s">
        <v>406</v>
      </c>
      <c r="Q322" s="78" t="s">
        <v>820</v>
      </c>
      <c r="R322" s="78" t="s">
        <v>1372</v>
      </c>
      <c r="S322" s="78"/>
      <c r="T322" s="78"/>
      <c r="U322" s="78"/>
      <c r="V322" s="78"/>
      <c r="W322" s="81" t="s">
        <v>1674</v>
      </c>
      <c r="X322" s="81" t="s">
        <v>1674</v>
      </c>
      <c r="Y322" s="78"/>
      <c r="Z322" s="78"/>
      <c r="AA322" s="81" t="s">
        <v>1674</v>
      </c>
      <c r="AB322" s="79">
        <v>6</v>
      </c>
      <c r="AC322" s="80" t="str">
        <f>REPLACE(INDEX(GroupVertices[Group],MATCH("~"&amp;Edges[[#This Row],[Vertex 1]],GroupVertices[Vertex],0)),1,1,"")</f>
        <v>2</v>
      </c>
      <c r="AD322" s="80" t="str">
        <f>REPLACE(INDEX(GroupVertices[Group],MATCH("~"&amp;Edges[[#This Row],[Vertex 2]],GroupVertices[Vertex],0)),1,1,"")</f>
        <v>2</v>
      </c>
      <c r="AE322" s="105"/>
      <c r="AF322" s="105"/>
      <c r="AG322" s="105"/>
      <c r="AH322" s="105"/>
      <c r="AI322" s="105"/>
      <c r="AJ322" s="105"/>
      <c r="AK322" s="105"/>
      <c r="AL322" s="105"/>
      <c r="AM322" s="105"/>
    </row>
    <row r="323" spans="1:39" ht="15">
      <c r="A323" s="62" t="s">
        <v>254</v>
      </c>
      <c r="B323" s="62" t="s">
        <v>295</v>
      </c>
      <c r="C323" s="63" t="s">
        <v>3599</v>
      </c>
      <c r="D323" s="64">
        <v>6.315789473684211</v>
      </c>
      <c r="E323" s="65" t="s">
        <v>136</v>
      </c>
      <c r="F323" s="66">
        <v>29.547169811320757</v>
      </c>
      <c r="G323" s="63"/>
      <c r="H323" s="67"/>
      <c r="I323" s="68"/>
      <c r="J323" s="68"/>
      <c r="K323" s="31" t="s">
        <v>65</v>
      </c>
      <c r="L323" s="76">
        <v>323</v>
      </c>
      <c r="M323" s="76"/>
      <c r="N323" s="70"/>
      <c r="O323" s="78" t="s">
        <v>305</v>
      </c>
      <c r="P323" s="78" t="s">
        <v>406</v>
      </c>
      <c r="Q323" s="78" t="s">
        <v>820</v>
      </c>
      <c r="R323" s="78" t="s">
        <v>1373</v>
      </c>
      <c r="S323" s="78"/>
      <c r="T323" s="78"/>
      <c r="U323" s="78"/>
      <c r="V323" s="78"/>
      <c r="W323" s="81" t="s">
        <v>1674</v>
      </c>
      <c r="X323" s="81" t="s">
        <v>1674</v>
      </c>
      <c r="Y323" s="78"/>
      <c r="Z323" s="78"/>
      <c r="AA323" s="81" t="s">
        <v>1674</v>
      </c>
      <c r="AB323" s="79">
        <v>6</v>
      </c>
      <c r="AC323" s="80" t="str">
        <f>REPLACE(INDEX(GroupVertices[Group],MATCH("~"&amp;Edges[[#This Row],[Vertex 1]],GroupVertices[Vertex],0)),1,1,"")</f>
        <v>2</v>
      </c>
      <c r="AD323" s="80" t="str">
        <f>REPLACE(INDEX(GroupVertices[Group],MATCH("~"&amp;Edges[[#This Row],[Vertex 2]],GroupVertices[Vertex],0)),1,1,"")</f>
        <v>2</v>
      </c>
      <c r="AE323" s="105"/>
      <c r="AF323" s="105"/>
      <c r="AG323" s="105"/>
      <c r="AH323" s="105"/>
      <c r="AI323" s="105"/>
      <c r="AJ323" s="105"/>
      <c r="AK323" s="105"/>
      <c r="AL323" s="105"/>
      <c r="AM323" s="105"/>
    </row>
    <row r="324" spans="1:39" ht="15">
      <c r="A324" s="62" t="s">
        <v>254</v>
      </c>
      <c r="B324" s="62" t="s">
        <v>295</v>
      </c>
      <c r="C324" s="63" t="s">
        <v>3599</v>
      </c>
      <c r="D324" s="64">
        <v>6.315789473684211</v>
      </c>
      <c r="E324" s="65" t="s">
        <v>136</v>
      </c>
      <c r="F324" s="66">
        <v>29.547169811320757</v>
      </c>
      <c r="G324" s="63"/>
      <c r="H324" s="67"/>
      <c r="I324" s="68"/>
      <c r="J324" s="68"/>
      <c r="K324" s="31" t="s">
        <v>65</v>
      </c>
      <c r="L324" s="76">
        <v>324</v>
      </c>
      <c r="M324" s="76"/>
      <c r="N324" s="70"/>
      <c r="O324" s="78" t="s">
        <v>305</v>
      </c>
      <c r="P324" s="78" t="s">
        <v>371</v>
      </c>
      <c r="Q324" s="78" t="s">
        <v>821</v>
      </c>
      <c r="R324" s="78" t="s">
        <v>1322</v>
      </c>
      <c r="S324" s="78"/>
      <c r="T324" s="78"/>
      <c r="U324" s="78"/>
      <c r="V324" s="78"/>
      <c r="W324" s="81" t="s">
        <v>1674</v>
      </c>
      <c r="X324" s="81" t="s">
        <v>1674</v>
      </c>
      <c r="Y324" s="78"/>
      <c r="Z324" s="78"/>
      <c r="AA324" s="81" t="s">
        <v>1674</v>
      </c>
      <c r="AB324" s="79">
        <v>6</v>
      </c>
      <c r="AC324" s="80" t="str">
        <f>REPLACE(INDEX(GroupVertices[Group],MATCH("~"&amp;Edges[[#This Row],[Vertex 1]],GroupVertices[Vertex],0)),1,1,"")</f>
        <v>2</v>
      </c>
      <c r="AD324" s="80" t="str">
        <f>REPLACE(INDEX(GroupVertices[Group],MATCH("~"&amp;Edges[[#This Row],[Vertex 2]],GroupVertices[Vertex],0)),1,1,"")</f>
        <v>2</v>
      </c>
      <c r="AE324" s="105"/>
      <c r="AF324" s="105"/>
      <c r="AG324" s="105"/>
      <c r="AH324" s="105"/>
      <c r="AI324" s="105"/>
      <c r="AJ324" s="105"/>
      <c r="AK324" s="105"/>
      <c r="AL324" s="105"/>
      <c r="AM324" s="105"/>
    </row>
    <row r="325" spans="1:39" ht="15">
      <c r="A325" s="62" t="s">
        <v>254</v>
      </c>
      <c r="B325" s="62" t="s">
        <v>295</v>
      </c>
      <c r="C325" s="63" t="s">
        <v>3599</v>
      </c>
      <c r="D325" s="64">
        <v>6.315789473684211</v>
      </c>
      <c r="E325" s="65" t="s">
        <v>136</v>
      </c>
      <c r="F325" s="66">
        <v>29.547169811320757</v>
      </c>
      <c r="G325" s="63"/>
      <c r="H325" s="67"/>
      <c r="I325" s="68"/>
      <c r="J325" s="68"/>
      <c r="K325" s="31" t="s">
        <v>65</v>
      </c>
      <c r="L325" s="76">
        <v>325</v>
      </c>
      <c r="M325" s="76"/>
      <c r="N325" s="70"/>
      <c r="O325" s="78" t="s">
        <v>305</v>
      </c>
      <c r="P325" s="78" t="s">
        <v>406</v>
      </c>
      <c r="Q325" s="78" t="s">
        <v>822</v>
      </c>
      <c r="R325" s="78" t="s">
        <v>1372</v>
      </c>
      <c r="S325" s="78"/>
      <c r="T325" s="78"/>
      <c r="U325" s="78"/>
      <c r="V325" s="78"/>
      <c r="W325" s="81" t="s">
        <v>1674</v>
      </c>
      <c r="X325" s="81" t="s">
        <v>1674</v>
      </c>
      <c r="Y325" s="78"/>
      <c r="Z325" s="78"/>
      <c r="AA325" s="81" t="s">
        <v>1674</v>
      </c>
      <c r="AB325" s="79">
        <v>6</v>
      </c>
      <c r="AC325" s="80" t="str">
        <f>REPLACE(INDEX(GroupVertices[Group],MATCH("~"&amp;Edges[[#This Row],[Vertex 1]],GroupVertices[Vertex],0)),1,1,"")</f>
        <v>2</v>
      </c>
      <c r="AD325" s="80" t="str">
        <f>REPLACE(INDEX(GroupVertices[Group],MATCH("~"&amp;Edges[[#This Row],[Vertex 2]],GroupVertices[Vertex],0)),1,1,"")</f>
        <v>2</v>
      </c>
      <c r="AE325" s="105"/>
      <c r="AF325" s="105"/>
      <c r="AG325" s="105"/>
      <c r="AH325" s="105"/>
      <c r="AI325" s="105"/>
      <c r="AJ325" s="105"/>
      <c r="AK325" s="105"/>
      <c r="AL325" s="105"/>
      <c r="AM325" s="105"/>
    </row>
    <row r="326" spans="1:39" ht="15">
      <c r="A326" s="62" t="s">
        <v>254</v>
      </c>
      <c r="B326" s="62" t="s">
        <v>295</v>
      </c>
      <c r="C326" s="63" t="s">
        <v>3599</v>
      </c>
      <c r="D326" s="64">
        <v>6.315789473684211</v>
      </c>
      <c r="E326" s="65" t="s">
        <v>136</v>
      </c>
      <c r="F326" s="66">
        <v>29.547169811320757</v>
      </c>
      <c r="G326" s="63"/>
      <c r="H326" s="67"/>
      <c r="I326" s="68"/>
      <c r="J326" s="68"/>
      <c r="K326" s="31" t="s">
        <v>65</v>
      </c>
      <c r="L326" s="76">
        <v>326</v>
      </c>
      <c r="M326" s="76"/>
      <c r="N326" s="70"/>
      <c r="O326" s="78" t="s">
        <v>305</v>
      </c>
      <c r="P326" s="78" t="s">
        <v>406</v>
      </c>
      <c r="Q326" s="78" t="s">
        <v>822</v>
      </c>
      <c r="R326" s="78" t="s">
        <v>1373</v>
      </c>
      <c r="S326" s="78"/>
      <c r="T326" s="78"/>
      <c r="U326" s="78"/>
      <c r="V326" s="78"/>
      <c r="W326" s="81" t="s">
        <v>1674</v>
      </c>
      <c r="X326" s="81" t="s">
        <v>1674</v>
      </c>
      <c r="Y326" s="78"/>
      <c r="Z326" s="78"/>
      <c r="AA326" s="81" t="s">
        <v>1674</v>
      </c>
      <c r="AB326" s="79">
        <v>6</v>
      </c>
      <c r="AC326" s="80" t="str">
        <f>REPLACE(INDEX(GroupVertices[Group],MATCH("~"&amp;Edges[[#This Row],[Vertex 1]],GroupVertices[Vertex],0)),1,1,"")</f>
        <v>2</v>
      </c>
      <c r="AD326" s="80" t="str">
        <f>REPLACE(INDEX(GroupVertices[Group],MATCH("~"&amp;Edges[[#This Row],[Vertex 2]],GroupVertices[Vertex],0)),1,1,"")</f>
        <v>2</v>
      </c>
      <c r="AE326" s="105"/>
      <c r="AF326" s="105"/>
      <c r="AG326" s="105"/>
      <c r="AH326" s="105"/>
      <c r="AI326" s="105"/>
      <c r="AJ326" s="105"/>
      <c r="AK326" s="105"/>
      <c r="AL326" s="105"/>
      <c r="AM326" s="105"/>
    </row>
    <row r="327" spans="1:39" ht="15">
      <c r="A327" s="62" t="s">
        <v>261</v>
      </c>
      <c r="B327" s="62" t="s">
        <v>295</v>
      </c>
      <c r="C327" s="63" t="s">
        <v>3603</v>
      </c>
      <c r="D327" s="64">
        <v>5.7894736842105265</v>
      </c>
      <c r="E327" s="65" t="s">
        <v>136</v>
      </c>
      <c r="F327" s="66">
        <v>30.528301886792452</v>
      </c>
      <c r="G327" s="63"/>
      <c r="H327" s="67"/>
      <c r="I327" s="68"/>
      <c r="J327" s="68"/>
      <c r="K327" s="31" t="s">
        <v>65</v>
      </c>
      <c r="L327" s="76">
        <v>327</v>
      </c>
      <c r="M327" s="76"/>
      <c r="N327" s="70"/>
      <c r="O327" s="78" t="s">
        <v>305</v>
      </c>
      <c r="P327" s="78" t="s">
        <v>406</v>
      </c>
      <c r="Q327" s="78" t="s">
        <v>823</v>
      </c>
      <c r="R327" s="78" t="s">
        <v>1372</v>
      </c>
      <c r="S327" s="78"/>
      <c r="T327" s="78"/>
      <c r="U327" s="78"/>
      <c r="V327" s="78"/>
      <c r="W327" s="81" t="s">
        <v>1674</v>
      </c>
      <c r="X327" s="81" t="s">
        <v>1674</v>
      </c>
      <c r="Y327" s="78"/>
      <c r="Z327" s="78"/>
      <c r="AA327" s="81" t="s">
        <v>1674</v>
      </c>
      <c r="AB327" s="79">
        <v>4</v>
      </c>
      <c r="AC327" s="80" t="str">
        <f>REPLACE(INDEX(GroupVertices[Group],MATCH("~"&amp;Edges[[#This Row],[Vertex 1]],GroupVertices[Vertex],0)),1,1,"")</f>
        <v>2</v>
      </c>
      <c r="AD327" s="80" t="str">
        <f>REPLACE(INDEX(GroupVertices[Group],MATCH("~"&amp;Edges[[#This Row],[Vertex 2]],GroupVertices[Vertex],0)),1,1,"")</f>
        <v>2</v>
      </c>
      <c r="AE327" s="105"/>
      <c r="AF327" s="105"/>
      <c r="AG327" s="105"/>
      <c r="AH327" s="105"/>
      <c r="AI327" s="105"/>
      <c r="AJ327" s="105"/>
      <c r="AK327" s="105"/>
      <c r="AL327" s="105"/>
      <c r="AM327" s="105"/>
    </row>
    <row r="328" spans="1:39" ht="15">
      <c r="A328" s="62" t="s">
        <v>261</v>
      </c>
      <c r="B328" s="62" t="s">
        <v>295</v>
      </c>
      <c r="C328" s="63" t="s">
        <v>3603</v>
      </c>
      <c r="D328" s="64">
        <v>5.7894736842105265</v>
      </c>
      <c r="E328" s="65" t="s">
        <v>136</v>
      </c>
      <c r="F328" s="66">
        <v>30.528301886792452</v>
      </c>
      <c r="G328" s="63"/>
      <c r="H328" s="67"/>
      <c r="I328" s="68"/>
      <c r="J328" s="68"/>
      <c r="K328" s="31" t="s">
        <v>65</v>
      </c>
      <c r="L328" s="76">
        <v>328</v>
      </c>
      <c r="M328" s="76"/>
      <c r="N328" s="70"/>
      <c r="O328" s="78" t="s">
        <v>305</v>
      </c>
      <c r="P328" s="78" t="s">
        <v>406</v>
      </c>
      <c r="Q328" s="78" t="s">
        <v>823</v>
      </c>
      <c r="R328" s="78" t="s">
        <v>1373</v>
      </c>
      <c r="S328" s="78"/>
      <c r="T328" s="78"/>
      <c r="U328" s="78"/>
      <c r="V328" s="78"/>
      <c r="W328" s="81" t="s">
        <v>1674</v>
      </c>
      <c r="X328" s="81" t="s">
        <v>1674</v>
      </c>
      <c r="Y328" s="78"/>
      <c r="Z328" s="78"/>
      <c r="AA328" s="81" t="s">
        <v>1674</v>
      </c>
      <c r="AB328" s="79">
        <v>4</v>
      </c>
      <c r="AC328" s="80" t="str">
        <f>REPLACE(INDEX(GroupVertices[Group],MATCH("~"&amp;Edges[[#This Row],[Vertex 1]],GroupVertices[Vertex],0)),1,1,"")</f>
        <v>2</v>
      </c>
      <c r="AD328" s="80" t="str">
        <f>REPLACE(INDEX(GroupVertices[Group],MATCH("~"&amp;Edges[[#This Row],[Vertex 2]],GroupVertices[Vertex],0)),1,1,"")</f>
        <v>2</v>
      </c>
      <c r="AE328" s="105"/>
      <c r="AF328" s="105"/>
      <c r="AG328" s="105"/>
      <c r="AH328" s="105"/>
      <c r="AI328" s="105"/>
      <c r="AJ328" s="105"/>
      <c r="AK328" s="105"/>
      <c r="AL328" s="105"/>
      <c r="AM328" s="105"/>
    </row>
    <row r="329" spans="1:39" ht="15">
      <c r="A329" s="62" t="s">
        <v>261</v>
      </c>
      <c r="B329" s="62" t="s">
        <v>295</v>
      </c>
      <c r="C329" s="63" t="s">
        <v>3603</v>
      </c>
      <c r="D329" s="64">
        <v>5.7894736842105265</v>
      </c>
      <c r="E329" s="65" t="s">
        <v>136</v>
      </c>
      <c r="F329" s="66">
        <v>30.528301886792452</v>
      </c>
      <c r="G329" s="63"/>
      <c r="H329" s="67"/>
      <c r="I329" s="68"/>
      <c r="J329" s="68"/>
      <c r="K329" s="31" t="s">
        <v>65</v>
      </c>
      <c r="L329" s="76">
        <v>329</v>
      </c>
      <c r="M329" s="76"/>
      <c r="N329" s="70"/>
      <c r="O329" s="78" t="s">
        <v>305</v>
      </c>
      <c r="P329" s="78" t="s">
        <v>406</v>
      </c>
      <c r="Q329" s="78" t="s">
        <v>824</v>
      </c>
      <c r="R329" s="78" t="s">
        <v>1372</v>
      </c>
      <c r="S329" s="78"/>
      <c r="T329" s="78"/>
      <c r="U329" s="78"/>
      <c r="V329" s="78"/>
      <c r="W329" s="81" t="s">
        <v>1674</v>
      </c>
      <c r="X329" s="81" t="s">
        <v>1674</v>
      </c>
      <c r="Y329" s="78"/>
      <c r="Z329" s="78"/>
      <c r="AA329" s="81" t="s">
        <v>1674</v>
      </c>
      <c r="AB329" s="79">
        <v>4</v>
      </c>
      <c r="AC329" s="80" t="str">
        <f>REPLACE(INDEX(GroupVertices[Group],MATCH("~"&amp;Edges[[#This Row],[Vertex 1]],GroupVertices[Vertex],0)),1,1,"")</f>
        <v>2</v>
      </c>
      <c r="AD329" s="80" t="str">
        <f>REPLACE(INDEX(GroupVertices[Group],MATCH("~"&amp;Edges[[#This Row],[Vertex 2]],GroupVertices[Vertex],0)),1,1,"")</f>
        <v>2</v>
      </c>
      <c r="AE329" s="105"/>
      <c r="AF329" s="105"/>
      <c r="AG329" s="105"/>
      <c r="AH329" s="105"/>
      <c r="AI329" s="105"/>
      <c r="AJ329" s="105"/>
      <c r="AK329" s="105"/>
      <c r="AL329" s="105"/>
      <c r="AM329" s="105"/>
    </row>
    <row r="330" spans="1:39" ht="15">
      <c r="A330" s="62" t="s">
        <v>261</v>
      </c>
      <c r="B330" s="62" t="s">
        <v>295</v>
      </c>
      <c r="C330" s="63" t="s">
        <v>3603</v>
      </c>
      <c r="D330" s="64">
        <v>5.7894736842105265</v>
      </c>
      <c r="E330" s="65" t="s">
        <v>136</v>
      </c>
      <c r="F330" s="66">
        <v>30.528301886792452</v>
      </c>
      <c r="G330" s="63"/>
      <c r="H330" s="67"/>
      <c r="I330" s="68"/>
      <c r="J330" s="68"/>
      <c r="K330" s="31" t="s">
        <v>65</v>
      </c>
      <c r="L330" s="76">
        <v>330</v>
      </c>
      <c r="M330" s="76"/>
      <c r="N330" s="70"/>
      <c r="O330" s="78" t="s">
        <v>305</v>
      </c>
      <c r="P330" s="78" t="s">
        <v>406</v>
      </c>
      <c r="Q330" s="78" t="s">
        <v>824</v>
      </c>
      <c r="R330" s="78" t="s">
        <v>1373</v>
      </c>
      <c r="S330" s="78"/>
      <c r="T330" s="78"/>
      <c r="U330" s="78"/>
      <c r="V330" s="78"/>
      <c r="W330" s="81" t="s">
        <v>1674</v>
      </c>
      <c r="X330" s="81" t="s">
        <v>1674</v>
      </c>
      <c r="Y330" s="78"/>
      <c r="Z330" s="78"/>
      <c r="AA330" s="81" t="s">
        <v>1674</v>
      </c>
      <c r="AB330" s="79">
        <v>4</v>
      </c>
      <c r="AC330" s="80" t="str">
        <f>REPLACE(INDEX(GroupVertices[Group],MATCH("~"&amp;Edges[[#This Row],[Vertex 1]],GroupVertices[Vertex],0)),1,1,"")</f>
        <v>2</v>
      </c>
      <c r="AD330" s="80" t="str">
        <f>REPLACE(INDEX(GroupVertices[Group],MATCH("~"&amp;Edges[[#This Row],[Vertex 2]],GroupVertices[Vertex],0)),1,1,"")</f>
        <v>2</v>
      </c>
      <c r="AE330" s="105"/>
      <c r="AF330" s="105"/>
      <c r="AG330" s="105"/>
      <c r="AH330" s="105"/>
      <c r="AI330" s="105"/>
      <c r="AJ330" s="105"/>
      <c r="AK330" s="105"/>
      <c r="AL330" s="105"/>
      <c r="AM330" s="105"/>
    </row>
    <row r="331" spans="1:39" ht="15">
      <c r="A331" s="62" t="s">
        <v>260</v>
      </c>
      <c r="B331" s="62" t="s">
        <v>295</v>
      </c>
      <c r="C331" s="63" t="s">
        <v>3598</v>
      </c>
      <c r="D331" s="64">
        <v>5.2631578947368425</v>
      </c>
      <c r="E331" s="65" t="s">
        <v>136</v>
      </c>
      <c r="F331" s="66">
        <v>31.50943396226415</v>
      </c>
      <c r="G331" s="63"/>
      <c r="H331" s="67"/>
      <c r="I331" s="68"/>
      <c r="J331" s="68"/>
      <c r="K331" s="31" t="s">
        <v>65</v>
      </c>
      <c r="L331" s="76">
        <v>331</v>
      </c>
      <c r="M331" s="76"/>
      <c r="N331" s="70"/>
      <c r="O331" s="78" t="s">
        <v>305</v>
      </c>
      <c r="P331" s="78" t="s">
        <v>406</v>
      </c>
      <c r="Q331" s="78" t="s">
        <v>825</v>
      </c>
      <c r="R331" s="78" t="s">
        <v>1372</v>
      </c>
      <c r="S331" s="78"/>
      <c r="T331" s="78"/>
      <c r="U331" s="78"/>
      <c r="V331" s="78"/>
      <c r="W331" s="81" t="s">
        <v>1674</v>
      </c>
      <c r="X331" s="81" t="s">
        <v>1674</v>
      </c>
      <c r="Y331" s="78"/>
      <c r="Z331" s="78"/>
      <c r="AA331" s="81" t="s">
        <v>1674</v>
      </c>
      <c r="AB331" s="79">
        <v>2</v>
      </c>
      <c r="AC331" s="80" t="str">
        <f>REPLACE(INDEX(GroupVertices[Group],MATCH("~"&amp;Edges[[#This Row],[Vertex 1]],GroupVertices[Vertex],0)),1,1,"")</f>
        <v>1</v>
      </c>
      <c r="AD331" s="80" t="str">
        <f>REPLACE(INDEX(GroupVertices[Group],MATCH("~"&amp;Edges[[#This Row],[Vertex 2]],GroupVertices[Vertex],0)),1,1,"")</f>
        <v>2</v>
      </c>
      <c r="AE331" s="105"/>
      <c r="AF331" s="105"/>
      <c r="AG331" s="105"/>
      <c r="AH331" s="105"/>
      <c r="AI331" s="105"/>
      <c r="AJ331" s="105"/>
      <c r="AK331" s="105"/>
      <c r="AL331" s="105"/>
      <c r="AM331" s="105"/>
    </row>
    <row r="332" spans="1:39" ht="15">
      <c r="A332" s="62" t="s">
        <v>260</v>
      </c>
      <c r="B332" s="62" t="s">
        <v>295</v>
      </c>
      <c r="C332" s="63" t="s">
        <v>3598</v>
      </c>
      <c r="D332" s="64">
        <v>5.2631578947368425</v>
      </c>
      <c r="E332" s="65" t="s">
        <v>136</v>
      </c>
      <c r="F332" s="66">
        <v>31.50943396226415</v>
      </c>
      <c r="G332" s="63"/>
      <c r="H332" s="67"/>
      <c r="I332" s="68"/>
      <c r="J332" s="68"/>
      <c r="K332" s="31" t="s">
        <v>65</v>
      </c>
      <c r="L332" s="76">
        <v>332</v>
      </c>
      <c r="M332" s="76"/>
      <c r="N332" s="70"/>
      <c r="O332" s="78" t="s">
        <v>305</v>
      </c>
      <c r="P332" s="78" t="s">
        <v>406</v>
      </c>
      <c r="Q332" s="78" t="s">
        <v>825</v>
      </c>
      <c r="R332" s="78" t="s">
        <v>1373</v>
      </c>
      <c r="S332" s="78"/>
      <c r="T332" s="78"/>
      <c r="U332" s="78"/>
      <c r="V332" s="78"/>
      <c r="W332" s="81" t="s">
        <v>1674</v>
      </c>
      <c r="X332" s="81" t="s">
        <v>1674</v>
      </c>
      <c r="Y332" s="78"/>
      <c r="Z332" s="78"/>
      <c r="AA332" s="81" t="s">
        <v>1674</v>
      </c>
      <c r="AB332" s="79">
        <v>2</v>
      </c>
      <c r="AC332" s="80" t="str">
        <f>REPLACE(INDEX(GroupVertices[Group],MATCH("~"&amp;Edges[[#This Row],[Vertex 1]],GroupVertices[Vertex],0)),1,1,"")</f>
        <v>1</v>
      </c>
      <c r="AD332" s="80" t="str">
        <f>REPLACE(INDEX(GroupVertices[Group],MATCH("~"&amp;Edges[[#This Row],[Vertex 2]],GroupVertices[Vertex],0)),1,1,"")</f>
        <v>2</v>
      </c>
      <c r="AE332" s="105"/>
      <c r="AF332" s="105"/>
      <c r="AG332" s="105"/>
      <c r="AH332" s="105"/>
      <c r="AI332" s="105"/>
      <c r="AJ332" s="105"/>
      <c r="AK332" s="105"/>
      <c r="AL332" s="105"/>
      <c r="AM332" s="105"/>
    </row>
    <row r="333" spans="1:39" ht="15">
      <c r="A333" s="62" t="s">
        <v>271</v>
      </c>
      <c r="B333" s="62" t="s">
        <v>295</v>
      </c>
      <c r="C333" s="63" t="s">
        <v>3598</v>
      </c>
      <c r="D333" s="64">
        <v>5.2631578947368425</v>
      </c>
      <c r="E333" s="65" t="s">
        <v>136</v>
      </c>
      <c r="F333" s="66">
        <v>31.50943396226415</v>
      </c>
      <c r="G333" s="63"/>
      <c r="H333" s="67"/>
      <c r="I333" s="68"/>
      <c r="J333" s="68"/>
      <c r="K333" s="31" t="s">
        <v>65</v>
      </c>
      <c r="L333" s="76">
        <v>333</v>
      </c>
      <c r="M333" s="76"/>
      <c r="N333" s="70"/>
      <c r="O333" s="78" t="s">
        <v>305</v>
      </c>
      <c r="P333" s="78" t="s">
        <v>407</v>
      </c>
      <c r="Q333" s="78" t="s">
        <v>826</v>
      </c>
      <c r="R333" s="78" t="s">
        <v>1374</v>
      </c>
      <c r="S333" s="78"/>
      <c r="T333" s="78"/>
      <c r="U333" s="78"/>
      <c r="V333" s="78"/>
      <c r="W333" s="81" t="s">
        <v>1674</v>
      </c>
      <c r="X333" s="81" t="s">
        <v>1674</v>
      </c>
      <c r="Y333" s="78"/>
      <c r="Z333" s="78"/>
      <c r="AA333" s="81" t="s">
        <v>1674</v>
      </c>
      <c r="AB333" s="79">
        <v>2</v>
      </c>
      <c r="AC333" s="80" t="str">
        <f>REPLACE(INDEX(GroupVertices[Group],MATCH("~"&amp;Edges[[#This Row],[Vertex 1]],GroupVertices[Vertex],0)),1,1,"")</f>
        <v>2</v>
      </c>
      <c r="AD333" s="80" t="str">
        <f>REPLACE(INDEX(GroupVertices[Group],MATCH("~"&amp;Edges[[#This Row],[Vertex 2]],GroupVertices[Vertex],0)),1,1,"")</f>
        <v>2</v>
      </c>
      <c r="AE333" s="105"/>
      <c r="AF333" s="105"/>
      <c r="AG333" s="105"/>
      <c r="AH333" s="105"/>
      <c r="AI333" s="105"/>
      <c r="AJ333" s="105"/>
      <c r="AK333" s="105"/>
      <c r="AL333" s="105"/>
      <c r="AM333" s="105"/>
    </row>
    <row r="334" spans="1:39" ht="15">
      <c r="A334" s="62" t="s">
        <v>271</v>
      </c>
      <c r="B334" s="62" t="s">
        <v>295</v>
      </c>
      <c r="C334" s="63" t="s">
        <v>3598</v>
      </c>
      <c r="D334" s="64">
        <v>5.2631578947368425</v>
      </c>
      <c r="E334" s="65" t="s">
        <v>136</v>
      </c>
      <c r="F334" s="66">
        <v>31.50943396226415</v>
      </c>
      <c r="G334" s="63"/>
      <c r="H334" s="67"/>
      <c r="I334" s="68"/>
      <c r="J334" s="68"/>
      <c r="K334" s="31" t="s">
        <v>65</v>
      </c>
      <c r="L334" s="76">
        <v>334</v>
      </c>
      <c r="M334" s="76"/>
      <c r="N334" s="70"/>
      <c r="O334" s="78" t="s">
        <v>305</v>
      </c>
      <c r="P334" s="78" t="s">
        <v>407</v>
      </c>
      <c r="Q334" s="78" t="s">
        <v>827</v>
      </c>
      <c r="R334" s="78" t="s">
        <v>1374</v>
      </c>
      <c r="S334" s="78"/>
      <c r="T334" s="78"/>
      <c r="U334" s="78"/>
      <c r="V334" s="78"/>
      <c r="W334" s="81" t="s">
        <v>1674</v>
      </c>
      <c r="X334" s="81" t="s">
        <v>1674</v>
      </c>
      <c r="Y334" s="78"/>
      <c r="Z334" s="78"/>
      <c r="AA334" s="81" t="s">
        <v>1674</v>
      </c>
      <c r="AB334" s="79">
        <v>2</v>
      </c>
      <c r="AC334" s="80" t="str">
        <f>REPLACE(INDEX(GroupVertices[Group],MATCH("~"&amp;Edges[[#This Row],[Vertex 1]],GroupVertices[Vertex],0)),1,1,"")</f>
        <v>2</v>
      </c>
      <c r="AD334" s="80" t="str">
        <f>REPLACE(INDEX(GroupVertices[Group],MATCH("~"&amp;Edges[[#This Row],[Vertex 2]],GroupVertices[Vertex],0)),1,1,"")</f>
        <v>2</v>
      </c>
      <c r="AE334" s="105"/>
      <c r="AF334" s="105"/>
      <c r="AG334" s="105"/>
      <c r="AH334" s="105"/>
      <c r="AI334" s="105"/>
      <c r="AJ334" s="105"/>
      <c r="AK334" s="105"/>
      <c r="AL334" s="105"/>
      <c r="AM334" s="105"/>
    </row>
    <row r="335" spans="1:39" ht="15">
      <c r="A335" s="62" t="s">
        <v>240</v>
      </c>
      <c r="B335" s="62" t="s">
        <v>300</v>
      </c>
      <c r="C335" s="63" t="s">
        <v>3598</v>
      </c>
      <c r="D335" s="64">
        <v>5</v>
      </c>
      <c r="E335" s="65" t="s">
        <v>132</v>
      </c>
      <c r="F335" s="66">
        <v>32</v>
      </c>
      <c r="G335" s="63"/>
      <c r="H335" s="67"/>
      <c r="I335" s="68"/>
      <c r="J335" s="68"/>
      <c r="K335" s="31" t="s">
        <v>65</v>
      </c>
      <c r="L335" s="76">
        <v>335</v>
      </c>
      <c r="M335" s="76"/>
      <c r="N335" s="70"/>
      <c r="O335" s="78" t="s">
        <v>305</v>
      </c>
      <c r="P335" s="78" t="s">
        <v>408</v>
      </c>
      <c r="Q335" s="78" t="s">
        <v>828</v>
      </c>
      <c r="R335" s="78" t="s">
        <v>1375</v>
      </c>
      <c r="S335" s="78"/>
      <c r="T335" s="78"/>
      <c r="U335" s="78"/>
      <c r="V335" s="78"/>
      <c r="W335" s="81" t="s">
        <v>1674</v>
      </c>
      <c r="X335" s="81" t="s">
        <v>1674</v>
      </c>
      <c r="Y335" s="78"/>
      <c r="Z335" s="78"/>
      <c r="AA335" s="81" t="s">
        <v>1674</v>
      </c>
      <c r="AB335" s="79">
        <v>1</v>
      </c>
      <c r="AC335" s="80" t="str">
        <f>REPLACE(INDEX(GroupVertices[Group],MATCH("~"&amp;Edges[[#This Row],[Vertex 1]],GroupVertices[Vertex],0)),1,1,"")</f>
        <v>2</v>
      </c>
      <c r="AD335" s="80" t="str">
        <f>REPLACE(INDEX(GroupVertices[Group],MATCH("~"&amp;Edges[[#This Row],[Vertex 2]],GroupVertices[Vertex],0)),1,1,"")</f>
        <v>2</v>
      </c>
      <c r="AE335" s="105"/>
      <c r="AF335" s="105"/>
      <c r="AG335" s="105"/>
      <c r="AH335" s="105"/>
      <c r="AI335" s="105"/>
      <c r="AJ335" s="105"/>
      <c r="AK335" s="105"/>
      <c r="AL335" s="105"/>
      <c r="AM335" s="105"/>
    </row>
    <row r="336" spans="1:39" ht="15">
      <c r="A336" s="62" t="s">
        <v>270</v>
      </c>
      <c r="B336" s="62" t="s">
        <v>300</v>
      </c>
      <c r="C336" s="63" t="s">
        <v>3602</v>
      </c>
      <c r="D336" s="64">
        <v>5.526315789473684</v>
      </c>
      <c r="E336" s="65" t="s">
        <v>136</v>
      </c>
      <c r="F336" s="66">
        <v>31.0188679245283</v>
      </c>
      <c r="G336" s="63"/>
      <c r="H336" s="67"/>
      <c r="I336" s="68"/>
      <c r="J336" s="68"/>
      <c r="K336" s="31" t="s">
        <v>65</v>
      </c>
      <c r="L336" s="76">
        <v>336</v>
      </c>
      <c r="M336" s="76"/>
      <c r="N336" s="70"/>
      <c r="O336" s="78" t="s">
        <v>305</v>
      </c>
      <c r="P336" s="78" t="s">
        <v>409</v>
      </c>
      <c r="Q336" s="78" t="s">
        <v>829</v>
      </c>
      <c r="R336" s="78" t="s">
        <v>1376</v>
      </c>
      <c r="S336" s="78" t="s">
        <v>1649</v>
      </c>
      <c r="T336" s="78"/>
      <c r="U336" s="78" t="s">
        <v>1670</v>
      </c>
      <c r="V336" s="78"/>
      <c r="W336" s="81" t="s">
        <v>1674</v>
      </c>
      <c r="X336" s="81" t="s">
        <v>1674</v>
      </c>
      <c r="Y336" s="78" t="s">
        <v>1684</v>
      </c>
      <c r="Z336" s="78" t="s">
        <v>1709</v>
      </c>
      <c r="AA336" s="81" t="s">
        <v>1674</v>
      </c>
      <c r="AB336" s="79">
        <v>3</v>
      </c>
      <c r="AC336" s="80" t="str">
        <f>REPLACE(INDEX(GroupVertices[Group],MATCH("~"&amp;Edges[[#This Row],[Vertex 1]],GroupVertices[Vertex],0)),1,1,"")</f>
        <v>2</v>
      </c>
      <c r="AD336" s="80" t="str">
        <f>REPLACE(INDEX(GroupVertices[Group],MATCH("~"&amp;Edges[[#This Row],[Vertex 2]],GroupVertices[Vertex],0)),1,1,"")</f>
        <v>2</v>
      </c>
      <c r="AE336" s="105"/>
      <c r="AF336" s="105"/>
      <c r="AG336" s="105"/>
      <c r="AH336" s="105"/>
      <c r="AI336" s="105"/>
      <c r="AJ336" s="105"/>
      <c r="AK336" s="105"/>
      <c r="AL336" s="105"/>
      <c r="AM336" s="105"/>
    </row>
    <row r="337" spans="1:39" ht="15">
      <c r="A337" s="62" t="s">
        <v>270</v>
      </c>
      <c r="B337" s="62" t="s">
        <v>300</v>
      </c>
      <c r="C337" s="63" t="s">
        <v>3602</v>
      </c>
      <c r="D337" s="64">
        <v>5.526315789473684</v>
      </c>
      <c r="E337" s="65" t="s">
        <v>136</v>
      </c>
      <c r="F337" s="66">
        <v>31.0188679245283</v>
      </c>
      <c r="G337" s="63"/>
      <c r="H337" s="67"/>
      <c r="I337" s="68"/>
      <c r="J337" s="68"/>
      <c r="K337" s="31" t="s">
        <v>65</v>
      </c>
      <c r="L337" s="76">
        <v>337</v>
      </c>
      <c r="M337" s="76"/>
      <c r="N337" s="70"/>
      <c r="O337" s="78" t="s">
        <v>305</v>
      </c>
      <c r="P337" s="78" t="s">
        <v>408</v>
      </c>
      <c r="Q337" s="78" t="s">
        <v>830</v>
      </c>
      <c r="R337" s="78" t="s">
        <v>1375</v>
      </c>
      <c r="S337" s="78"/>
      <c r="T337" s="78"/>
      <c r="U337" s="78"/>
      <c r="V337" s="78"/>
      <c r="W337" s="81" t="s">
        <v>1674</v>
      </c>
      <c r="X337" s="81" t="s">
        <v>1674</v>
      </c>
      <c r="Y337" s="78"/>
      <c r="Z337" s="78"/>
      <c r="AA337" s="81" t="s">
        <v>1674</v>
      </c>
      <c r="AB337" s="79">
        <v>3</v>
      </c>
      <c r="AC337" s="80" t="str">
        <f>REPLACE(INDEX(GroupVertices[Group],MATCH("~"&amp;Edges[[#This Row],[Vertex 1]],GroupVertices[Vertex],0)),1,1,"")</f>
        <v>2</v>
      </c>
      <c r="AD337" s="80" t="str">
        <f>REPLACE(INDEX(GroupVertices[Group],MATCH("~"&amp;Edges[[#This Row],[Vertex 2]],GroupVertices[Vertex],0)),1,1,"")</f>
        <v>2</v>
      </c>
      <c r="AE337" s="105"/>
      <c r="AF337" s="105"/>
      <c r="AG337" s="105"/>
      <c r="AH337" s="105"/>
      <c r="AI337" s="105"/>
      <c r="AJ337" s="105"/>
      <c r="AK337" s="105"/>
      <c r="AL337" s="105"/>
      <c r="AM337" s="105"/>
    </row>
    <row r="338" spans="1:39" ht="15">
      <c r="A338" s="62" t="s">
        <v>270</v>
      </c>
      <c r="B338" s="62" t="s">
        <v>300</v>
      </c>
      <c r="C338" s="63" t="s">
        <v>3602</v>
      </c>
      <c r="D338" s="64">
        <v>5.526315789473684</v>
      </c>
      <c r="E338" s="65" t="s">
        <v>136</v>
      </c>
      <c r="F338" s="66">
        <v>31.0188679245283</v>
      </c>
      <c r="G338" s="63"/>
      <c r="H338" s="67"/>
      <c r="I338" s="68"/>
      <c r="J338" s="68"/>
      <c r="K338" s="31" t="s">
        <v>65</v>
      </c>
      <c r="L338" s="76">
        <v>338</v>
      </c>
      <c r="M338" s="76"/>
      <c r="N338" s="70"/>
      <c r="O338" s="78" t="s">
        <v>305</v>
      </c>
      <c r="P338" s="78" t="s">
        <v>410</v>
      </c>
      <c r="Q338" s="78" t="s">
        <v>831</v>
      </c>
      <c r="R338" s="78" t="s">
        <v>1377</v>
      </c>
      <c r="S338" s="78" t="s">
        <v>1650</v>
      </c>
      <c r="T338" s="78"/>
      <c r="U338" s="78" t="s">
        <v>1670</v>
      </c>
      <c r="V338" s="78"/>
      <c r="W338" s="81" t="s">
        <v>1674</v>
      </c>
      <c r="X338" s="81" t="s">
        <v>1674</v>
      </c>
      <c r="Y338" s="78" t="s">
        <v>1685</v>
      </c>
      <c r="Z338" s="78" t="s">
        <v>1709</v>
      </c>
      <c r="AA338" s="81" t="s">
        <v>1674</v>
      </c>
      <c r="AB338" s="79">
        <v>3</v>
      </c>
      <c r="AC338" s="80" t="str">
        <f>REPLACE(INDEX(GroupVertices[Group],MATCH("~"&amp;Edges[[#This Row],[Vertex 1]],GroupVertices[Vertex],0)),1,1,"")</f>
        <v>2</v>
      </c>
      <c r="AD338" s="80" t="str">
        <f>REPLACE(INDEX(GroupVertices[Group],MATCH("~"&amp;Edges[[#This Row],[Vertex 2]],GroupVertices[Vertex],0)),1,1,"")</f>
        <v>2</v>
      </c>
      <c r="AE338" s="105"/>
      <c r="AF338" s="105"/>
      <c r="AG338" s="105"/>
      <c r="AH338" s="105"/>
      <c r="AI338" s="105"/>
      <c r="AJ338" s="105"/>
      <c r="AK338" s="105"/>
      <c r="AL338" s="105"/>
      <c r="AM338" s="105"/>
    </row>
    <row r="339" spans="1:39" ht="15">
      <c r="A339" s="62" t="s">
        <v>261</v>
      </c>
      <c r="B339" s="62" t="s">
        <v>300</v>
      </c>
      <c r="C339" s="63" t="s">
        <v>3602</v>
      </c>
      <c r="D339" s="64">
        <v>5.526315789473684</v>
      </c>
      <c r="E339" s="65" t="s">
        <v>136</v>
      </c>
      <c r="F339" s="66">
        <v>31.0188679245283</v>
      </c>
      <c r="G339" s="63"/>
      <c r="H339" s="67"/>
      <c r="I339" s="68"/>
      <c r="J339" s="68"/>
      <c r="K339" s="31" t="s">
        <v>65</v>
      </c>
      <c r="L339" s="76">
        <v>339</v>
      </c>
      <c r="M339" s="76"/>
      <c r="N339" s="70"/>
      <c r="O339" s="78" t="s">
        <v>305</v>
      </c>
      <c r="P339" s="78" t="s">
        <v>411</v>
      </c>
      <c r="Q339" s="78" t="s">
        <v>832</v>
      </c>
      <c r="R339" s="78" t="s">
        <v>1378</v>
      </c>
      <c r="S339" s="78"/>
      <c r="T339" s="78"/>
      <c r="U339" s="78"/>
      <c r="V339" s="78"/>
      <c r="W339" s="81" t="s">
        <v>1674</v>
      </c>
      <c r="X339" s="81" t="s">
        <v>1674</v>
      </c>
      <c r="Y339" s="78"/>
      <c r="Z339" s="78"/>
      <c r="AA339" s="81" t="s">
        <v>1674</v>
      </c>
      <c r="AB339" s="79">
        <v>3</v>
      </c>
      <c r="AC339" s="80" t="str">
        <f>REPLACE(INDEX(GroupVertices[Group],MATCH("~"&amp;Edges[[#This Row],[Vertex 1]],GroupVertices[Vertex],0)),1,1,"")</f>
        <v>2</v>
      </c>
      <c r="AD339" s="80" t="str">
        <f>REPLACE(INDEX(GroupVertices[Group],MATCH("~"&amp;Edges[[#This Row],[Vertex 2]],GroupVertices[Vertex],0)),1,1,"")</f>
        <v>2</v>
      </c>
      <c r="AE339" s="105"/>
      <c r="AF339" s="105"/>
      <c r="AG339" s="105"/>
      <c r="AH339" s="105"/>
      <c r="AI339" s="105"/>
      <c r="AJ339" s="105"/>
      <c r="AK339" s="105"/>
      <c r="AL339" s="105"/>
      <c r="AM339" s="105"/>
    </row>
    <row r="340" spans="1:39" ht="15">
      <c r="A340" s="62" t="s">
        <v>261</v>
      </c>
      <c r="B340" s="62" t="s">
        <v>300</v>
      </c>
      <c r="C340" s="63" t="s">
        <v>3602</v>
      </c>
      <c r="D340" s="64">
        <v>5.526315789473684</v>
      </c>
      <c r="E340" s="65" t="s">
        <v>136</v>
      </c>
      <c r="F340" s="66">
        <v>31.0188679245283</v>
      </c>
      <c r="G340" s="63"/>
      <c r="H340" s="67"/>
      <c r="I340" s="68"/>
      <c r="J340" s="68"/>
      <c r="K340" s="31" t="s">
        <v>65</v>
      </c>
      <c r="L340" s="76">
        <v>340</v>
      </c>
      <c r="M340" s="76"/>
      <c r="N340" s="70"/>
      <c r="O340" s="78" t="s">
        <v>305</v>
      </c>
      <c r="P340" s="78" t="s">
        <v>412</v>
      </c>
      <c r="Q340" s="78" t="s">
        <v>833</v>
      </c>
      <c r="R340" s="78" t="s">
        <v>1379</v>
      </c>
      <c r="S340" s="78"/>
      <c r="T340" s="78"/>
      <c r="U340" s="78"/>
      <c r="V340" s="78"/>
      <c r="W340" s="81" t="s">
        <v>1674</v>
      </c>
      <c r="X340" s="81" t="s">
        <v>1674</v>
      </c>
      <c r="Y340" s="78"/>
      <c r="Z340" s="78"/>
      <c r="AA340" s="81" t="s">
        <v>1674</v>
      </c>
      <c r="AB340" s="79">
        <v>3</v>
      </c>
      <c r="AC340" s="80" t="str">
        <f>REPLACE(INDEX(GroupVertices[Group],MATCH("~"&amp;Edges[[#This Row],[Vertex 1]],GroupVertices[Vertex],0)),1,1,"")</f>
        <v>2</v>
      </c>
      <c r="AD340" s="80" t="str">
        <f>REPLACE(INDEX(GroupVertices[Group],MATCH("~"&amp;Edges[[#This Row],[Vertex 2]],GroupVertices[Vertex],0)),1,1,"")</f>
        <v>2</v>
      </c>
      <c r="AE340" s="105"/>
      <c r="AF340" s="105"/>
      <c r="AG340" s="105"/>
      <c r="AH340" s="105"/>
      <c r="AI340" s="105"/>
      <c r="AJ340" s="105"/>
      <c r="AK340" s="105"/>
      <c r="AL340" s="105"/>
      <c r="AM340" s="105"/>
    </row>
    <row r="341" spans="1:39" ht="15">
      <c r="A341" s="62" t="s">
        <v>261</v>
      </c>
      <c r="B341" s="62" t="s">
        <v>300</v>
      </c>
      <c r="C341" s="63" t="s">
        <v>3602</v>
      </c>
      <c r="D341" s="64">
        <v>5.526315789473684</v>
      </c>
      <c r="E341" s="65" t="s">
        <v>136</v>
      </c>
      <c r="F341" s="66">
        <v>31.0188679245283</v>
      </c>
      <c r="G341" s="63"/>
      <c r="H341" s="67"/>
      <c r="I341" s="68"/>
      <c r="J341" s="68"/>
      <c r="K341" s="31" t="s">
        <v>65</v>
      </c>
      <c r="L341" s="76">
        <v>341</v>
      </c>
      <c r="M341" s="76"/>
      <c r="N341" s="70"/>
      <c r="O341" s="78" t="s">
        <v>305</v>
      </c>
      <c r="P341" s="78" t="s">
        <v>409</v>
      </c>
      <c r="Q341" s="78" t="s">
        <v>834</v>
      </c>
      <c r="R341" s="78" t="s">
        <v>1376</v>
      </c>
      <c r="S341" s="78"/>
      <c r="T341" s="78"/>
      <c r="U341" s="78"/>
      <c r="V341" s="78"/>
      <c r="W341" s="81" t="s">
        <v>1674</v>
      </c>
      <c r="X341" s="81" t="s">
        <v>1674</v>
      </c>
      <c r="Y341" s="78"/>
      <c r="Z341" s="78"/>
      <c r="AA341" s="81" t="s">
        <v>1674</v>
      </c>
      <c r="AB341" s="79">
        <v>3</v>
      </c>
      <c r="AC341" s="80" t="str">
        <f>REPLACE(INDEX(GroupVertices[Group],MATCH("~"&amp;Edges[[#This Row],[Vertex 1]],GroupVertices[Vertex],0)),1,1,"")</f>
        <v>2</v>
      </c>
      <c r="AD341" s="80" t="str">
        <f>REPLACE(INDEX(GroupVertices[Group],MATCH("~"&amp;Edges[[#This Row],[Vertex 2]],GroupVertices[Vertex],0)),1,1,"")</f>
        <v>2</v>
      </c>
      <c r="AE341" s="105"/>
      <c r="AF341" s="105"/>
      <c r="AG341" s="105"/>
      <c r="AH341" s="105"/>
      <c r="AI341" s="105"/>
      <c r="AJ341" s="105"/>
      <c r="AK341" s="105"/>
      <c r="AL341" s="105"/>
      <c r="AM341" s="105"/>
    </row>
    <row r="342" spans="1:39" ht="15">
      <c r="A342" s="62" t="s">
        <v>246</v>
      </c>
      <c r="B342" s="62" t="s">
        <v>300</v>
      </c>
      <c r="C342" s="63" t="s">
        <v>3602</v>
      </c>
      <c r="D342" s="64">
        <v>5.526315789473684</v>
      </c>
      <c r="E342" s="65" t="s">
        <v>136</v>
      </c>
      <c r="F342" s="66">
        <v>31.0188679245283</v>
      </c>
      <c r="G342" s="63"/>
      <c r="H342" s="67"/>
      <c r="I342" s="68"/>
      <c r="J342" s="68"/>
      <c r="K342" s="31" t="s">
        <v>65</v>
      </c>
      <c r="L342" s="76">
        <v>342</v>
      </c>
      <c r="M342" s="76"/>
      <c r="N342" s="70"/>
      <c r="O342" s="78" t="s">
        <v>305</v>
      </c>
      <c r="P342" s="78" t="s">
        <v>413</v>
      </c>
      <c r="Q342" s="78" t="s">
        <v>835</v>
      </c>
      <c r="R342" s="78" t="s">
        <v>1380</v>
      </c>
      <c r="S342" s="78"/>
      <c r="T342" s="78"/>
      <c r="U342" s="78"/>
      <c r="V342" s="78"/>
      <c r="W342" s="81" t="s">
        <v>1674</v>
      </c>
      <c r="X342" s="81" t="s">
        <v>1674</v>
      </c>
      <c r="Y342" s="78"/>
      <c r="Z342" s="78"/>
      <c r="AA342" s="81" t="s">
        <v>1674</v>
      </c>
      <c r="AB342" s="79">
        <v>3</v>
      </c>
      <c r="AC342" s="80" t="str">
        <f>REPLACE(INDEX(GroupVertices[Group],MATCH("~"&amp;Edges[[#This Row],[Vertex 1]],GroupVertices[Vertex],0)),1,1,"")</f>
        <v>3</v>
      </c>
      <c r="AD342" s="80" t="str">
        <f>REPLACE(INDEX(GroupVertices[Group],MATCH("~"&amp;Edges[[#This Row],[Vertex 2]],GroupVertices[Vertex],0)),1,1,"")</f>
        <v>2</v>
      </c>
      <c r="AE342" s="105"/>
      <c r="AF342" s="105"/>
      <c r="AG342" s="105"/>
      <c r="AH342" s="105"/>
      <c r="AI342" s="105"/>
      <c r="AJ342" s="105"/>
      <c r="AK342" s="105"/>
      <c r="AL342" s="105"/>
      <c r="AM342" s="105"/>
    </row>
    <row r="343" spans="1:39" ht="15">
      <c r="A343" s="62" t="s">
        <v>246</v>
      </c>
      <c r="B343" s="62" t="s">
        <v>300</v>
      </c>
      <c r="C343" s="63" t="s">
        <v>3602</v>
      </c>
      <c r="D343" s="64">
        <v>5.526315789473684</v>
      </c>
      <c r="E343" s="65" t="s">
        <v>136</v>
      </c>
      <c r="F343" s="66">
        <v>31.0188679245283</v>
      </c>
      <c r="G343" s="63"/>
      <c r="H343" s="67"/>
      <c r="I343" s="68"/>
      <c r="J343" s="68"/>
      <c r="K343" s="31" t="s">
        <v>65</v>
      </c>
      <c r="L343" s="76">
        <v>343</v>
      </c>
      <c r="M343" s="76"/>
      <c r="N343" s="70"/>
      <c r="O343" s="78" t="s">
        <v>305</v>
      </c>
      <c r="P343" s="78" t="s">
        <v>413</v>
      </c>
      <c r="Q343" s="78" t="s">
        <v>836</v>
      </c>
      <c r="R343" s="78" t="s">
        <v>1380</v>
      </c>
      <c r="S343" s="78"/>
      <c r="T343" s="78"/>
      <c r="U343" s="78"/>
      <c r="V343" s="78"/>
      <c r="W343" s="81" t="s">
        <v>1674</v>
      </c>
      <c r="X343" s="81" t="s">
        <v>1674</v>
      </c>
      <c r="Y343" s="78"/>
      <c r="Z343" s="78"/>
      <c r="AA343" s="81" t="s">
        <v>1674</v>
      </c>
      <c r="AB343" s="79">
        <v>3</v>
      </c>
      <c r="AC343" s="80" t="str">
        <f>REPLACE(INDEX(GroupVertices[Group],MATCH("~"&amp;Edges[[#This Row],[Vertex 1]],GroupVertices[Vertex],0)),1,1,"")</f>
        <v>3</v>
      </c>
      <c r="AD343" s="80" t="str">
        <f>REPLACE(INDEX(GroupVertices[Group],MATCH("~"&amp;Edges[[#This Row],[Vertex 2]],GroupVertices[Vertex],0)),1,1,"")</f>
        <v>2</v>
      </c>
      <c r="AE343" s="105"/>
      <c r="AF343" s="105"/>
      <c r="AG343" s="105"/>
      <c r="AH343" s="105"/>
      <c r="AI343" s="105"/>
      <c r="AJ343" s="105"/>
      <c r="AK343" s="105"/>
      <c r="AL343" s="105"/>
      <c r="AM343" s="105"/>
    </row>
    <row r="344" spans="1:39" ht="15">
      <c r="A344" s="62" t="s">
        <v>246</v>
      </c>
      <c r="B344" s="62" t="s">
        <v>300</v>
      </c>
      <c r="C344" s="63" t="s">
        <v>3602</v>
      </c>
      <c r="D344" s="64">
        <v>5.526315789473684</v>
      </c>
      <c r="E344" s="65" t="s">
        <v>136</v>
      </c>
      <c r="F344" s="66">
        <v>31.0188679245283</v>
      </c>
      <c r="G344" s="63"/>
      <c r="H344" s="67"/>
      <c r="I344" s="68"/>
      <c r="J344" s="68"/>
      <c r="K344" s="31" t="s">
        <v>65</v>
      </c>
      <c r="L344" s="76">
        <v>344</v>
      </c>
      <c r="M344" s="76"/>
      <c r="N344" s="70"/>
      <c r="O344" s="78" t="s">
        <v>305</v>
      </c>
      <c r="P344" s="78" t="s">
        <v>413</v>
      </c>
      <c r="Q344" s="78" t="s">
        <v>837</v>
      </c>
      <c r="R344" s="78" t="s">
        <v>1380</v>
      </c>
      <c r="S344" s="78"/>
      <c r="T344" s="78"/>
      <c r="U344" s="78"/>
      <c r="V344" s="78"/>
      <c r="W344" s="81" t="s">
        <v>1674</v>
      </c>
      <c r="X344" s="81" t="s">
        <v>1674</v>
      </c>
      <c r="Y344" s="78"/>
      <c r="Z344" s="78"/>
      <c r="AA344" s="81" t="s">
        <v>1674</v>
      </c>
      <c r="AB344" s="79">
        <v>3</v>
      </c>
      <c r="AC344" s="80" t="str">
        <f>REPLACE(INDEX(GroupVertices[Group],MATCH("~"&amp;Edges[[#This Row],[Vertex 1]],GroupVertices[Vertex],0)),1,1,"")</f>
        <v>3</v>
      </c>
      <c r="AD344" s="80" t="str">
        <f>REPLACE(INDEX(GroupVertices[Group],MATCH("~"&amp;Edges[[#This Row],[Vertex 2]],GroupVertices[Vertex],0)),1,1,"")</f>
        <v>2</v>
      </c>
      <c r="AE344" s="105"/>
      <c r="AF344" s="105"/>
      <c r="AG344" s="105"/>
      <c r="AH344" s="105"/>
      <c r="AI344" s="105"/>
      <c r="AJ344" s="105"/>
      <c r="AK344" s="105"/>
      <c r="AL344" s="105"/>
      <c r="AM344" s="105"/>
    </row>
    <row r="345" spans="1:39" ht="15">
      <c r="A345" s="62" t="s">
        <v>271</v>
      </c>
      <c r="B345" s="62" t="s">
        <v>300</v>
      </c>
      <c r="C345" s="63" t="s">
        <v>3598</v>
      </c>
      <c r="D345" s="64">
        <v>5.2631578947368425</v>
      </c>
      <c r="E345" s="65" t="s">
        <v>136</v>
      </c>
      <c r="F345" s="66">
        <v>31.50943396226415</v>
      </c>
      <c r="G345" s="63"/>
      <c r="H345" s="67"/>
      <c r="I345" s="68"/>
      <c r="J345" s="68"/>
      <c r="K345" s="31" t="s">
        <v>65</v>
      </c>
      <c r="L345" s="76">
        <v>345</v>
      </c>
      <c r="M345" s="76"/>
      <c r="N345" s="70"/>
      <c r="O345" s="78" t="s">
        <v>305</v>
      </c>
      <c r="P345" s="78" t="s">
        <v>414</v>
      </c>
      <c r="Q345" s="78" t="s">
        <v>838</v>
      </c>
      <c r="R345" s="78" t="s">
        <v>1381</v>
      </c>
      <c r="S345" s="78"/>
      <c r="T345" s="78"/>
      <c r="U345" s="78"/>
      <c r="V345" s="78"/>
      <c r="W345" s="81" t="s">
        <v>1674</v>
      </c>
      <c r="X345" s="81" t="s">
        <v>1674</v>
      </c>
      <c r="Y345" s="78"/>
      <c r="Z345" s="78"/>
      <c r="AA345" s="81" t="s">
        <v>1674</v>
      </c>
      <c r="AB345" s="79">
        <v>2</v>
      </c>
      <c r="AC345" s="80" t="str">
        <f>REPLACE(INDEX(GroupVertices[Group],MATCH("~"&amp;Edges[[#This Row],[Vertex 1]],GroupVertices[Vertex],0)),1,1,"")</f>
        <v>2</v>
      </c>
      <c r="AD345" s="80" t="str">
        <f>REPLACE(INDEX(GroupVertices[Group],MATCH("~"&amp;Edges[[#This Row],[Vertex 2]],GroupVertices[Vertex],0)),1,1,"")</f>
        <v>2</v>
      </c>
      <c r="AE345" s="105"/>
      <c r="AF345" s="105"/>
      <c r="AG345" s="105"/>
      <c r="AH345" s="105"/>
      <c r="AI345" s="105"/>
      <c r="AJ345" s="105"/>
      <c r="AK345" s="105"/>
      <c r="AL345" s="105"/>
      <c r="AM345" s="105"/>
    </row>
    <row r="346" spans="1:39" ht="15">
      <c r="A346" s="62" t="s">
        <v>271</v>
      </c>
      <c r="B346" s="62" t="s">
        <v>300</v>
      </c>
      <c r="C346" s="63" t="s">
        <v>3598</v>
      </c>
      <c r="D346" s="64">
        <v>5.2631578947368425</v>
      </c>
      <c r="E346" s="65" t="s">
        <v>136</v>
      </c>
      <c r="F346" s="66">
        <v>31.50943396226415</v>
      </c>
      <c r="G346" s="63"/>
      <c r="H346" s="67"/>
      <c r="I346" s="68"/>
      <c r="J346" s="68"/>
      <c r="K346" s="31" t="s">
        <v>65</v>
      </c>
      <c r="L346" s="76">
        <v>346</v>
      </c>
      <c r="M346" s="76"/>
      <c r="N346" s="70"/>
      <c r="O346" s="78" t="s">
        <v>305</v>
      </c>
      <c r="P346" s="78" t="s">
        <v>408</v>
      </c>
      <c r="Q346" s="78" t="s">
        <v>839</v>
      </c>
      <c r="R346" s="78" t="s">
        <v>1375</v>
      </c>
      <c r="S346" s="78"/>
      <c r="T346" s="78"/>
      <c r="U346" s="78"/>
      <c r="V346" s="78"/>
      <c r="W346" s="81" t="s">
        <v>1674</v>
      </c>
      <c r="X346" s="81" t="s">
        <v>1674</v>
      </c>
      <c r="Y346" s="78"/>
      <c r="Z346" s="78"/>
      <c r="AA346" s="81" t="s">
        <v>1674</v>
      </c>
      <c r="AB346" s="79">
        <v>2</v>
      </c>
      <c r="AC346" s="80" t="str">
        <f>REPLACE(INDEX(GroupVertices[Group],MATCH("~"&amp;Edges[[#This Row],[Vertex 1]],GroupVertices[Vertex],0)),1,1,"")</f>
        <v>2</v>
      </c>
      <c r="AD346" s="80" t="str">
        <f>REPLACE(INDEX(GroupVertices[Group],MATCH("~"&amp;Edges[[#This Row],[Vertex 2]],GroupVertices[Vertex],0)),1,1,"")</f>
        <v>2</v>
      </c>
      <c r="AE346" s="105"/>
      <c r="AF346" s="105"/>
      <c r="AG346" s="105"/>
      <c r="AH346" s="105"/>
      <c r="AI346" s="105"/>
      <c r="AJ346" s="105"/>
      <c r="AK346" s="105"/>
      <c r="AL346" s="105"/>
      <c r="AM346" s="105"/>
    </row>
    <row r="347" spans="1:39" ht="15">
      <c r="A347" s="62" t="s">
        <v>240</v>
      </c>
      <c r="B347" s="62" t="s">
        <v>249</v>
      </c>
      <c r="C347" s="63" t="s">
        <v>3599</v>
      </c>
      <c r="D347" s="64">
        <v>6.315789473684211</v>
      </c>
      <c r="E347" s="65" t="s">
        <v>136</v>
      </c>
      <c r="F347" s="66">
        <v>29.547169811320757</v>
      </c>
      <c r="G347" s="63"/>
      <c r="H347" s="67"/>
      <c r="I347" s="68"/>
      <c r="J347" s="68"/>
      <c r="K347" s="31" t="s">
        <v>65</v>
      </c>
      <c r="L347" s="76">
        <v>347</v>
      </c>
      <c r="M347" s="76"/>
      <c r="N347" s="70"/>
      <c r="O347" s="78" t="s">
        <v>305</v>
      </c>
      <c r="P347" s="78" t="s">
        <v>415</v>
      </c>
      <c r="Q347" s="78" t="s">
        <v>840</v>
      </c>
      <c r="R347" s="78" t="s">
        <v>1382</v>
      </c>
      <c r="S347" s="78"/>
      <c r="T347" s="78"/>
      <c r="U347" s="78"/>
      <c r="V347" s="78"/>
      <c r="W347" s="81" t="s">
        <v>1674</v>
      </c>
      <c r="X347" s="81" t="s">
        <v>1674</v>
      </c>
      <c r="Y347" s="78"/>
      <c r="Z347" s="78"/>
      <c r="AA347" s="81" t="s">
        <v>1674</v>
      </c>
      <c r="AB347" s="79">
        <v>6</v>
      </c>
      <c r="AC347" s="80" t="str">
        <f>REPLACE(INDEX(GroupVertices[Group],MATCH("~"&amp;Edges[[#This Row],[Vertex 1]],GroupVertices[Vertex],0)),1,1,"")</f>
        <v>2</v>
      </c>
      <c r="AD347" s="80" t="str">
        <f>REPLACE(INDEX(GroupVertices[Group],MATCH("~"&amp;Edges[[#This Row],[Vertex 2]],GroupVertices[Vertex],0)),1,1,"")</f>
        <v>2</v>
      </c>
      <c r="AE347" s="105"/>
      <c r="AF347" s="105"/>
      <c r="AG347" s="105"/>
      <c r="AH347" s="105"/>
      <c r="AI347" s="105"/>
      <c r="AJ347" s="105"/>
      <c r="AK347" s="105"/>
      <c r="AL347" s="105"/>
      <c r="AM347" s="105"/>
    </row>
    <row r="348" spans="1:39" ht="15">
      <c r="A348" s="62" t="s">
        <v>240</v>
      </c>
      <c r="B348" s="62" t="s">
        <v>249</v>
      </c>
      <c r="C348" s="63" t="s">
        <v>3599</v>
      </c>
      <c r="D348" s="64">
        <v>6.315789473684211</v>
      </c>
      <c r="E348" s="65" t="s">
        <v>136</v>
      </c>
      <c r="F348" s="66">
        <v>29.547169811320757</v>
      </c>
      <c r="G348" s="63"/>
      <c r="H348" s="67"/>
      <c r="I348" s="68"/>
      <c r="J348" s="68"/>
      <c r="K348" s="31" t="s">
        <v>65</v>
      </c>
      <c r="L348" s="76">
        <v>348</v>
      </c>
      <c r="M348" s="76"/>
      <c r="N348" s="70"/>
      <c r="O348" s="78" t="s">
        <v>305</v>
      </c>
      <c r="P348" s="78" t="s">
        <v>416</v>
      </c>
      <c r="Q348" s="78" t="s">
        <v>841</v>
      </c>
      <c r="R348" s="78" t="s">
        <v>1383</v>
      </c>
      <c r="S348" s="78"/>
      <c r="T348" s="78"/>
      <c r="U348" s="78"/>
      <c r="V348" s="78"/>
      <c r="W348" s="81" t="s">
        <v>1674</v>
      </c>
      <c r="X348" s="81" t="s">
        <v>1674</v>
      </c>
      <c r="Y348" s="78"/>
      <c r="Z348" s="78"/>
      <c r="AA348" s="81" t="s">
        <v>1674</v>
      </c>
      <c r="AB348" s="79">
        <v>6</v>
      </c>
      <c r="AC348" s="80" t="str">
        <f>REPLACE(INDEX(GroupVertices[Group],MATCH("~"&amp;Edges[[#This Row],[Vertex 1]],GroupVertices[Vertex],0)),1,1,"")</f>
        <v>2</v>
      </c>
      <c r="AD348" s="80" t="str">
        <f>REPLACE(INDEX(GroupVertices[Group],MATCH("~"&amp;Edges[[#This Row],[Vertex 2]],GroupVertices[Vertex],0)),1,1,"")</f>
        <v>2</v>
      </c>
      <c r="AE348" s="105"/>
      <c r="AF348" s="105"/>
      <c r="AG348" s="105"/>
      <c r="AH348" s="105"/>
      <c r="AI348" s="105"/>
      <c r="AJ348" s="105"/>
      <c r="AK348" s="105"/>
      <c r="AL348" s="105"/>
      <c r="AM348" s="105"/>
    </row>
    <row r="349" spans="1:39" ht="15">
      <c r="A349" s="62" t="s">
        <v>240</v>
      </c>
      <c r="B349" s="62" t="s">
        <v>249</v>
      </c>
      <c r="C349" s="63" t="s">
        <v>3599</v>
      </c>
      <c r="D349" s="64">
        <v>6.315789473684211</v>
      </c>
      <c r="E349" s="65" t="s">
        <v>136</v>
      </c>
      <c r="F349" s="66">
        <v>29.547169811320757</v>
      </c>
      <c r="G349" s="63"/>
      <c r="H349" s="67"/>
      <c r="I349" s="68"/>
      <c r="J349" s="68"/>
      <c r="K349" s="31" t="s">
        <v>65</v>
      </c>
      <c r="L349" s="76">
        <v>349</v>
      </c>
      <c r="M349" s="76"/>
      <c r="N349" s="70"/>
      <c r="O349" s="78" t="s">
        <v>305</v>
      </c>
      <c r="P349" s="78" t="s">
        <v>416</v>
      </c>
      <c r="Q349" s="78" t="s">
        <v>841</v>
      </c>
      <c r="R349" s="78" t="s">
        <v>1384</v>
      </c>
      <c r="S349" s="78"/>
      <c r="T349" s="78"/>
      <c r="U349" s="78"/>
      <c r="V349" s="78"/>
      <c r="W349" s="81" t="s">
        <v>1674</v>
      </c>
      <c r="X349" s="81" t="s">
        <v>1674</v>
      </c>
      <c r="Y349" s="78"/>
      <c r="Z349" s="78"/>
      <c r="AA349" s="81" t="s">
        <v>1674</v>
      </c>
      <c r="AB349" s="79">
        <v>6</v>
      </c>
      <c r="AC349" s="80" t="str">
        <f>REPLACE(INDEX(GroupVertices[Group],MATCH("~"&amp;Edges[[#This Row],[Vertex 1]],GroupVertices[Vertex],0)),1,1,"")</f>
        <v>2</v>
      </c>
      <c r="AD349" s="80" t="str">
        <f>REPLACE(INDEX(GroupVertices[Group],MATCH("~"&amp;Edges[[#This Row],[Vertex 2]],GroupVertices[Vertex],0)),1,1,"")</f>
        <v>2</v>
      </c>
      <c r="AE349" s="105"/>
      <c r="AF349" s="105"/>
      <c r="AG349" s="105"/>
      <c r="AH349" s="105"/>
      <c r="AI349" s="105"/>
      <c r="AJ349" s="105"/>
      <c r="AK349" s="105"/>
      <c r="AL349" s="105"/>
      <c r="AM349" s="105"/>
    </row>
    <row r="350" spans="1:39" ht="15">
      <c r="A350" s="62" t="s">
        <v>240</v>
      </c>
      <c r="B350" s="62" t="s">
        <v>249</v>
      </c>
      <c r="C350" s="63" t="s">
        <v>3599</v>
      </c>
      <c r="D350" s="64">
        <v>6.315789473684211</v>
      </c>
      <c r="E350" s="65" t="s">
        <v>136</v>
      </c>
      <c r="F350" s="66">
        <v>29.547169811320757</v>
      </c>
      <c r="G350" s="63"/>
      <c r="H350" s="67"/>
      <c r="I350" s="68"/>
      <c r="J350" s="68"/>
      <c r="K350" s="31" t="s">
        <v>65</v>
      </c>
      <c r="L350" s="76">
        <v>350</v>
      </c>
      <c r="M350" s="76"/>
      <c r="N350" s="70"/>
      <c r="O350" s="78" t="s">
        <v>305</v>
      </c>
      <c r="P350" s="78" t="s">
        <v>416</v>
      </c>
      <c r="Q350" s="78" t="s">
        <v>841</v>
      </c>
      <c r="R350" s="78" t="s">
        <v>1385</v>
      </c>
      <c r="S350" s="78"/>
      <c r="T350" s="78"/>
      <c r="U350" s="78"/>
      <c r="V350" s="78"/>
      <c r="W350" s="81" t="s">
        <v>1674</v>
      </c>
      <c r="X350" s="81" t="s">
        <v>1674</v>
      </c>
      <c r="Y350" s="78"/>
      <c r="Z350" s="78"/>
      <c r="AA350" s="81" t="s">
        <v>1674</v>
      </c>
      <c r="AB350" s="79">
        <v>6</v>
      </c>
      <c r="AC350" s="80" t="str">
        <f>REPLACE(INDEX(GroupVertices[Group],MATCH("~"&amp;Edges[[#This Row],[Vertex 1]],GroupVertices[Vertex],0)),1,1,"")</f>
        <v>2</v>
      </c>
      <c r="AD350" s="80" t="str">
        <f>REPLACE(INDEX(GroupVertices[Group],MATCH("~"&amp;Edges[[#This Row],[Vertex 2]],GroupVertices[Vertex],0)),1,1,"")</f>
        <v>2</v>
      </c>
      <c r="AE350" s="105"/>
      <c r="AF350" s="105"/>
      <c r="AG350" s="105"/>
      <c r="AH350" s="105"/>
      <c r="AI350" s="105"/>
      <c r="AJ350" s="105"/>
      <c r="AK350" s="105"/>
      <c r="AL350" s="105"/>
      <c r="AM350" s="105"/>
    </row>
    <row r="351" spans="1:39" ht="15">
      <c r="A351" s="62" t="s">
        <v>240</v>
      </c>
      <c r="B351" s="62" t="s">
        <v>249</v>
      </c>
      <c r="C351" s="63" t="s">
        <v>3599</v>
      </c>
      <c r="D351" s="64">
        <v>6.315789473684211</v>
      </c>
      <c r="E351" s="65" t="s">
        <v>136</v>
      </c>
      <c r="F351" s="66">
        <v>29.547169811320757</v>
      </c>
      <c r="G351" s="63"/>
      <c r="H351" s="67"/>
      <c r="I351" s="68"/>
      <c r="J351" s="68"/>
      <c r="K351" s="31" t="s">
        <v>65</v>
      </c>
      <c r="L351" s="76">
        <v>351</v>
      </c>
      <c r="M351" s="76"/>
      <c r="N351" s="70"/>
      <c r="O351" s="78" t="s">
        <v>305</v>
      </c>
      <c r="P351" s="78" t="s">
        <v>416</v>
      </c>
      <c r="Q351" s="78" t="s">
        <v>841</v>
      </c>
      <c r="R351" s="78" t="s">
        <v>1386</v>
      </c>
      <c r="S351" s="78"/>
      <c r="T351" s="78"/>
      <c r="U351" s="78"/>
      <c r="V351" s="78"/>
      <c r="W351" s="81" t="s">
        <v>1674</v>
      </c>
      <c r="X351" s="81" t="s">
        <v>1674</v>
      </c>
      <c r="Y351" s="78"/>
      <c r="Z351" s="78"/>
      <c r="AA351" s="81" t="s">
        <v>1674</v>
      </c>
      <c r="AB351" s="79">
        <v>6</v>
      </c>
      <c r="AC351" s="80" t="str">
        <f>REPLACE(INDEX(GroupVertices[Group],MATCH("~"&amp;Edges[[#This Row],[Vertex 1]],GroupVertices[Vertex],0)),1,1,"")</f>
        <v>2</v>
      </c>
      <c r="AD351" s="80" t="str">
        <f>REPLACE(INDEX(GroupVertices[Group],MATCH("~"&amp;Edges[[#This Row],[Vertex 2]],GroupVertices[Vertex],0)),1,1,"")</f>
        <v>2</v>
      </c>
      <c r="AE351" s="105"/>
      <c r="AF351" s="105"/>
      <c r="AG351" s="105"/>
      <c r="AH351" s="105"/>
      <c r="AI351" s="105"/>
      <c r="AJ351" s="105"/>
      <c r="AK351" s="105"/>
      <c r="AL351" s="105"/>
      <c r="AM351" s="105"/>
    </row>
    <row r="352" spans="1:39" ht="15">
      <c r="A352" s="62" t="s">
        <v>240</v>
      </c>
      <c r="B352" s="62" t="s">
        <v>249</v>
      </c>
      <c r="C352" s="63" t="s">
        <v>3599</v>
      </c>
      <c r="D352" s="64">
        <v>6.315789473684211</v>
      </c>
      <c r="E352" s="65" t="s">
        <v>136</v>
      </c>
      <c r="F352" s="66">
        <v>29.547169811320757</v>
      </c>
      <c r="G352" s="63"/>
      <c r="H352" s="67"/>
      <c r="I352" s="68"/>
      <c r="J352" s="68"/>
      <c r="K352" s="31" t="s">
        <v>65</v>
      </c>
      <c r="L352" s="76">
        <v>352</v>
      </c>
      <c r="M352" s="76"/>
      <c r="N352" s="70"/>
      <c r="O352" s="78" t="s">
        <v>305</v>
      </c>
      <c r="P352" s="78" t="s">
        <v>417</v>
      </c>
      <c r="Q352" s="78" t="s">
        <v>842</v>
      </c>
      <c r="R352" s="78" t="s">
        <v>1387</v>
      </c>
      <c r="S352" s="78"/>
      <c r="T352" s="78"/>
      <c r="U352" s="78"/>
      <c r="V352" s="78"/>
      <c r="W352" s="81" t="s">
        <v>1674</v>
      </c>
      <c r="X352" s="81" t="s">
        <v>1674</v>
      </c>
      <c r="Y352" s="78"/>
      <c r="Z352" s="78"/>
      <c r="AA352" s="81" t="s">
        <v>1674</v>
      </c>
      <c r="AB352" s="79">
        <v>6</v>
      </c>
      <c r="AC352" s="80" t="str">
        <f>REPLACE(INDEX(GroupVertices[Group],MATCH("~"&amp;Edges[[#This Row],[Vertex 1]],GroupVertices[Vertex],0)),1,1,"")</f>
        <v>2</v>
      </c>
      <c r="AD352" s="80" t="str">
        <f>REPLACE(INDEX(GroupVertices[Group],MATCH("~"&amp;Edges[[#This Row],[Vertex 2]],GroupVertices[Vertex],0)),1,1,"")</f>
        <v>2</v>
      </c>
      <c r="AE352" s="105"/>
      <c r="AF352" s="105"/>
      <c r="AG352" s="105"/>
      <c r="AH352" s="105"/>
      <c r="AI352" s="105"/>
      <c r="AJ352" s="105"/>
      <c r="AK352" s="105"/>
      <c r="AL352" s="105"/>
      <c r="AM352" s="105"/>
    </row>
    <row r="353" spans="1:39" ht="15">
      <c r="A353" s="62" t="s">
        <v>241</v>
      </c>
      <c r="B353" s="62" t="s">
        <v>240</v>
      </c>
      <c r="C353" s="63" t="s">
        <v>3598</v>
      </c>
      <c r="D353" s="64">
        <v>5</v>
      </c>
      <c r="E353" s="65" t="s">
        <v>132</v>
      </c>
      <c r="F353" s="66">
        <v>32</v>
      </c>
      <c r="G353" s="63"/>
      <c r="H353" s="67"/>
      <c r="I353" s="68"/>
      <c r="J353" s="68"/>
      <c r="K353" s="31" t="s">
        <v>65</v>
      </c>
      <c r="L353" s="76">
        <v>353</v>
      </c>
      <c r="M353" s="76"/>
      <c r="N353" s="70"/>
      <c r="O353" s="78" t="s">
        <v>305</v>
      </c>
      <c r="P353" s="78" t="s">
        <v>418</v>
      </c>
      <c r="Q353" s="78" t="s">
        <v>843</v>
      </c>
      <c r="R353" s="78" t="s">
        <v>1388</v>
      </c>
      <c r="S353" s="78"/>
      <c r="T353" s="78"/>
      <c r="U353" s="78"/>
      <c r="V353" s="78"/>
      <c r="W353" s="81" t="s">
        <v>1674</v>
      </c>
      <c r="X353" s="81" t="s">
        <v>1674</v>
      </c>
      <c r="Y353" s="78"/>
      <c r="Z353" s="78"/>
      <c r="AA353" s="81" t="s">
        <v>1674</v>
      </c>
      <c r="AB353" s="79">
        <v>1</v>
      </c>
      <c r="AC353" s="80" t="str">
        <f>REPLACE(INDEX(GroupVertices[Group],MATCH("~"&amp;Edges[[#This Row],[Vertex 1]],GroupVertices[Vertex],0)),1,1,"")</f>
        <v>2</v>
      </c>
      <c r="AD353" s="80" t="str">
        <f>REPLACE(INDEX(GroupVertices[Group],MATCH("~"&amp;Edges[[#This Row],[Vertex 2]],GroupVertices[Vertex],0)),1,1,"")</f>
        <v>2</v>
      </c>
      <c r="AE353" s="105"/>
      <c r="AF353" s="105"/>
      <c r="AG353" s="105"/>
      <c r="AH353" s="105"/>
      <c r="AI353" s="105"/>
      <c r="AJ353" s="105"/>
      <c r="AK353" s="105"/>
      <c r="AL353" s="105"/>
      <c r="AM353" s="105"/>
    </row>
    <row r="354" spans="1:39" ht="15">
      <c r="A354" s="62" t="s">
        <v>242</v>
      </c>
      <c r="B354" s="62" t="s">
        <v>240</v>
      </c>
      <c r="C354" s="63" t="s">
        <v>3598</v>
      </c>
      <c r="D354" s="64">
        <v>5</v>
      </c>
      <c r="E354" s="65" t="s">
        <v>132</v>
      </c>
      <c r="F354" s="66">
        <v>32</v>
      </c>
      <c r="G354" s="63"/>
      <c r="H354" s="67"/>
      <c r="I354" s="68"/>
      <c r="J354" s="68"/>
      <c r="K354" s="31" t="s">
        <v>65</v>
      </c>
      <c r="L354" s="76">
        <v>354</v>
      </c>
      <c r="M354" s="76"/>
      <c r="N354" s="70"/>
      <c r="O354" s="78" t="s">
        <v>305</v>
      </c>
      <c r="P354" s="78" t="s">
        <v>419</v>
      </c>
      <c r="Q354" s="78" t="s">
        <v>844</v>
      </c>
      <c r="R354" s="78" t="s">
        <v>1389</v>
      </c>
      <c r="S354" s="78"/>
      <c r="T354" s="78"/>
      <c r="U354" s="78"/>
      <c r="V354" s="78"/>
      <c r="W354" s="81" t="s">
        <v>1674</v>
      </c>
      <c r="X354" s="81" t="s">
        <v>1674</v>
      </c>
      <c r="Y354" s="78"/>
      <c r="Z354" s="78"/>
      <c r="AA354" s="81" t="s">
        <v>1674</v>
      </c>
      <c r="AB354" s="79">
        <v>1</v>
      </c>
      <c r="AC354" s="80" t="str">
        <f>REPLACE(INDEX(GroupVertices[Group],MATCH("~"&amp;Edges[[#This Row],[Vertex 1]],GroupVertices[Vertex],0)),1,1,"")</f>
        <v>5</v>
      </c>
      <c r="AD354" s="80" t="str">
        <f>REPLACE(INDEX(GroupVertices[Group],MATCH("~"&amp;Edges[[#This Row],[Vertex 2]],GroupVertices[Vertex],0)),1,1,"")</f>
        <v>2</v>
      </c>
      <c r="AE354" s="105"/>
      <c r="AF354" s="105"/>
      <c r="AG354" s="105"/>
      <c r="AH354" s="105"/>
      <c r="AI354" s="105"/>
      <c r="AJ354" s="105"/>
      <c r="AK354" s="105"/>
      <c r="AL354" s="105"/>
      <c r="AM354" s="105"/>
    </row>
    <row r="355" spans="1:39" ht="15">
      <c r="A355" s="62" t="s">
        <v>251</v>
      </c>
      <c r="B355" s="62" t="s">
        <v>240</v>
      </c>
      <c r="C355" s="63" t="s">
        <v>3598</v>
      </c>
      <c r="D355" s="64">
        <v>5</v>
      </c>
      <c r="E355" s="65" t="s">
        <v>132</v>
      </c>
      <c r="F355" s="66">
        <v>32</v>
      </c>
      <c r="G355" s="63"/>
      <c r="H355" s="67"/>
      <c r="I355" s="68"/>
      <c r="J355" s="68"/>
      <c r="K355" s="31" t="s">
        <v>65</v>
      </c>
      <c r="L355" s="76">
        <v>355</v>
      </c>
      <c r="M355" s="76"/>
      <c r="N355" s="70"/>
      <c r="O355" s="78" t="s">
        <v>305</v>
      </c>
      <c r="P355" s="78" t="s">
        <v>420</v>
      </c>
      <c r="Q355" s="78" t="s">
        <v>845</v>
      </c>
      <c r="R355" s="78" t="s">
        <v>1390</v>
      </c>
      <c r="S355" s="78"/>
      <c r="T355" s="78"/>
      <c r="U355" s="78"/>
      <c r="V355" s="78"/>
      <c r="W355" s="81" t="s">
        <v>1674</v>
      </c>
      <c r="X355" s="81" t="s">
        <v>1674</v>
      </c>
      <c r="Y355" s="78"/>
      <c r="Z355" s="78"/>
      <c r="AA355" s="81" t="s">
        <v>1674</v>
      </c>
      <c r="AB355" s="79">
        <v>1</v>
      </c>
      <c r="AC355" s="80" t="str">
        <f>REPLACE(INDEX(GroupVertices[Group],MATCH("~"&amp;Edges[[#This Row],[Vertex 1]],GroupVertices[Vertex],0)),1,1,"")</f>
        <v>3</v>
      </c>
      <c r="AD355" s="80" t="str">
        <f>REPLACE(INDEX(GroupVertices[Group],MATCH("~"&amp;Edges[[#This Row],[Vertex 2]],GroupVertices[Vertex],0)),1,1,"")</f>
        <v>2</v>
      </c>
      <c r="AE355" s="105"/>
      <c r="AF355" s="105"/>
      <c r="AG355" s="105"/>
      <c r="AH355" s="105"/>
      <c r="AI355" s="105"/>
      <c r="AJ355" s="105"/>
      <c r="AK355" s="105"/>
      <c r="AL355" s="105"/>
      <c r="AM355" s="105"/>
    </row>
    <row r="356" spans="1:39" ht="15">
      <c r="A356" s="62" t="s">
        <v>270</v>
      </c>
      <c r="B356" s="62" t="s">
        <v>240</v>
      </c>
      <c r="C356" s="63" t="s">
        <v>3606</v>
      </c>
      <c r="D356" s="64">
        <v>9.210526315789473</v>
      </c>
      <c r="E356" s="65" t="s">
        <v>136</v>
      </c>
      <c r="F356" s="66">
        <v>24.150943396226417</v>
      </c>
      <c r="G356" s="63"/>
      <c r="H356" s="67"/>
      <c r="I356" s="68"/>
      <c r="J356" s="68"/>
      <c r="K356" s="31" t="s">
        <v>65</v>
      </c>
      <c r="L356" s="76">
        <v>356</v>
      </c>
      <c r="M356" s="76"/>
      <c r="N356" s="70"/>
      <c r="O356" s="78" t="s">
        <v>305</v>
      </c>
      <c r="P356" s="78" t="s">
        <v>421</v>
      </c>
      <c r="Q356" s="78" t="s">
        <v>846</v>
      </c>
      <c r="R356" s="78" t="s">
        <v>1391</v>
      </c>
      <c r="S356" s="78"/>
      <c r="T356" s="78"/>
      <c r="U356" s="78"/>
      <c r="V356" s="78"/>
      <c r="W356" s="81" t="s">
        <v>1674</v>
      </c>
      <c r="X356" s="81" t="s">
        <v>1674</v>
      </c>
      <c r="Y356" s="78"/>
      <c r="Z356" s="78"/>
      <c r="AA356" s="81" t="s">
        <v>1674</v>
      </c>
      <c r="AB356" s="79">
        <v>17</v>
      </c>
      <c r="AC356" s="80" t="str">
        <f>REPLACE(INDEX(GroupVertices[Group],MATCH("~"&amp;Edges[[#This Row],[Vertex 1]],GroupVertices[Vertex],0)),1,1,"")</f>
        <v>2</v>
      </c>
      <c r="AD356" s="80" t="str">
        <f>REPLACE(INDEX(GroupVertices[Group],MATCH("~"&amp;Edges[[#This Row],[Vertex 2]],GroupVertices[Vertex],0)),1,1,"")</f>
        <v>2</v>
      </c>
      <c r="AE356" s="105"/>
      <c r="AF356" s="105"/>
      <c r="AG356" s="105"/>
      <c r="AH356" s="105"/>
      <c r="AI356" s="105"/>
      <c r="AJ356" s="105"/>
      <c r="AK356" s="105"/>
      <c r="AL356" s="105"/>
      <c r="AM356" s="105"/>
    </row>
    <row r="357" spans="1:39" ht="15">
      <c r="A357" s="62" t="s">
        <v>270</v>
      </c>
      <c r="B357" s="62" t="s">
        <v>240</v>
      </c>
      <c r="C357" s="63" t="s">
        <v>3606</v>
      </c>
      <c r="D357" s="64">
        <v>9.210526315789473</v>
      </c>
      <c r="E357" s="65" t="s">
        <v>136</v>
      </c>
      <c r="F357" s="66">
        <v>24.150943396226417</v>
      </c>
      <c r="G357" s="63"/>
      <c r="H357" s="67"/>
      <c r="I357" s="68"/>
      <c r="J357" s="68"/>
      <c r="K357" s="31" t="s">
        <v>65</v>
      </c>
      <c r="L357" s="76">
        <v>357</v>
      </c>
      <c r="M357" s="76"/>
      <c r="N357" s="70"/>
      <c r="O357" s="78" t="s">
        <v>305</v>
      </c>
      <c r="P357" s="78" t="s">
        <v>421</v>
      </c>
      <c r="Q357" s="78" t="s">
        <v>846</v>
      </c>
      <c r="R357" s="78" t="s">
        <v>1391</v>
      </c>
      <c r="S357" s="78"/>
      <c r="T357" s="78"/>
      <c r="U357" s="78"/>
      <c r="V357" s="78"/>
      <c r="W357" s="81" t="s">
        <v>1674</v>
      </c>
      <c r="X357" s="81" t="s">
        <v>1674</v>
      </c>
      <c r="Y357" s="78"/>
      <c r="Z357" s="78"/>
      <c r="AA357" s="81" t="s">
        <v>1674</v>
      </c>
      <c r="AB357" s="79">
        <v>17</v>
      </c>
      <c r="AC357" s="80" t="str">
        <f>REPLACE(INDEX(GroupVertices[Group],MATCH("~"&amp;Edges[[#This Row],[Vertex 1]],GroupVertices[Vertex],0)),1,1,"")</f>
        <v>2</v>
      </c>
      <c r="AD357" s="80" t="str">
        <f>REPLACE(INDEX(GroupVertices[Group],MATCH("~"&amp;Edges[[#This Row],[Vertex 2]],GroupVertices[Vertex],0)),1,1,"")</f>
        <v>2</v>
      </c>
      <c r="AE357" s="105"/>
      <c r="AF357" s="105"/>
      <c r="AG357" s="105"/>
      <c r="AH357" s="105"/>
      <c r="AI357" s="105"/>
      <c r="AJ357" s="105"/>
      <c r="AK357" s="105"/>
      <c r="AL357" s="105"/>
      <c r="AM357" s="105"/>
    </row>
    <row r="358" spans="1:39" ht="15">
      <c r="A358" s="62" t="s">
        <v>270</v>
      </c>
      <c r="B358" s="62" t="s">
        <v>240</v>
      </c>
      <c r="C358" s="63" t="s">
        <v>3606</v>
      </c>
      <c r="D358" s="64">
        <v>9.210526315789473</v>
      </c>
      <c r="E358" s="65" t="s">
        <v>136</v>
      </c>
      <c r="F358" s="66">
        <v>24.150943396226417</v>
      </c>
      <c r="G358" s="63"/>
      <c r="H358" s="67"/>
      <c r="I358" s="68"/>
      <c r="J358" s="68"/>
      <c r="K358" s="31" t="s">
        <v>65</v>
      </c>
      <c r="L358" s="76">
        <v>358</v>
      </c>
      <c r="M358" s="76"/>
      <c r="N358" s="70"/>
      <c r="O358" s="78" t="s">
        <v>305</v>
      </c>
      <c r="P358" s="78" t="s">
        <v>421</v>
      </c>
      <c r="Q358" s="78" t="s">
        <v>847</v>
      </c>
      <c r="R358" s="78" t="s">
        <v>1391</v>
      </c>
      <c r="S358" s="78"/>
      <c r="T358" s="78"/>
      <c r="U358" s="78"/>
      <c r="V358" s="78"/>
      <c r="W358" s="81" t="s">
        <v>1674</v>
      </c>
      <c r="X358" s="81" t="s">
        <v>1674</v>
      </c>
      <c r="Y358" s="78"/>
      <c r="Z358" s="78"/>
      <c r="AA358" s="81" t="s">
        <v>1674</v>
      </c>
      <c r="AB358" s="79">
        <v>17</v>
      </c>
      <c r="AC358" s="80" t="str">
        <f>REPLACE(INDEX(GroupVertices[Group],MATCH("~"&amp;Edges[[#This Row],[Vertex 1]],GroupVertices[Vertex],0)),1,1,"")</f>
        <v>2</v>
      </c>
      <c r="AD358" s="80" t="str">
        <f>REPLACE(INDEX(GroupVertices[Group],MATCH("~"&amp;Edges[[#This Row],[Vertex 2]],GroupVertices[Vertex],0)),1,1,"")</f>
        <v>2</v>
      </c>
      <c r="AE358" s="105"/>
      <c r="AF358" s="105"/>
      <c r="AG358" s="105"/>
      <c r="AH358" s="105"/>
      <c r="AI358" s="105"/>
      <c r="AJ358" s="105"/>
      <c r="AK358" s="105"/>
      <c r="AL358" s="105"/>
      <c r="AM358" s="105"/>
    </row>
    <row r="359" spans="1:39" ht="15">
      <c r="A359" s="62" t="s">
        <v>270</v>
      </c>
      <c r="B359" s="62" t="s">
        <v>240</v>
      </c>
      <c r="C359" s="63" t="s">
        <v>3606</v>
      </c>
      <c r="D359" s="64">
        <v>9.210526315789473</v>
      </c>
      <c r="E359" s="65" t="s">
        <v>136</v>
      </c>
      <c r="F359" s="66">
        <v>24.150943396226417</v>
      </c>
      <c r="G359" s="63"/>
      <c r="H359" s="67"/>
      <c r="I359" s="68"/>
      <c r="J359" s="68"/>
      <c r="K359" s="31" t="s">
        <v>65</v>
      </c>
      <c r="L359" s="76">
        <v>359</v>
      </c>
      <c r="M359" s="76"/>
      <c r="N359" s="70"/>
      <c r="O359" s="78" t="s">
        <v>305</v>
      </c>
      <c r="P359" s="78" t="s">
        <v>421</v>
      </c>
      <c r="Q359" s="78" t="s">
        <v>848</v>
      </c>
      <c r="R359" s="78" t="s">
        <v>1391</v>
      </c>
      <c r="S359" s="78"/>
      <c r="T359" s="78"/>
      <c r="U359" s="78"/>
      <c r="V359" s="78"/>
      <c r="W359" s="81" t="s">
        <v>1674</v>
      </c>
      <c r="X359" s="81" t="s">
        <v>1674</v>
      </c>
      <c r="Y359" s="78"/>
      <c r="Z359" s="78"/>
      <c r="AA359" s="81" t="s">
        <v>1674</v>
      </c>
      <c r="AB359" s="79">
        <v>17</v>
      </c>
      <c r="AC359" s="80" t="str">
        <f>REPLACE(INDEX(GroupVertices[Group],MATCH("~"&amp;Edges[[#This Row],[Vertex 1]],GroupVertices[Vertex],0)),1,1,"")</f>
        <v>2</v>
      </c>
      <c r="AD359" s="80" t="str">
        <f>REPLACE(INDEX(GroupVertices[Group],MATCH("~"&amp;Edges[[#This Row],[Vertex 2]],GroupVertices[Vertex],0)),1,1,"")</f>
        <v>2</v>
      </c>
      <c r="AE359" s="105"/>
      <c r="AF359" s="105"/>
      <c r="AG359" s="105"/>
      <c r="AH359" s="105"/>
      <c r="AI359" s="105"/>
      <c r="AJ359" s="105"/>
      <c r="AK359" s="105"/>
      <c r="AL359" s="105"/>
      <c r="AM359" s="105"/>
    </row>
    <row r="360" spans="1:39" ht="15">
      <c r="A360" s="62" t="s">
        <v>270</v>
      </c>
      <c r="B360" s="62" t="s">
        <v>240</v>
      </c>
      <c r="C360" s="63" t="s">
        <v>3606</v>
      </c>
      <c r="D360" s="64">
        <v>9.210526315789473</v>
      </c>
      <c r="E360" s="65" t="s">
        <v>136</v>
      </c>
      <c r="F360" s="66">
        <v>24.150943396226417</v>
      </c>
      <c r="G360" s="63"/>
      <c r="H360" s="67"/>
      <c r="I360" s="68"/>
      <c r="J360" s="68"/>
      <c r="K360" s="31" t="s">
        <v>65</v>
      </c>
      <c r="L360" s="76">
        <v>360</v>
      </c>
      <c r="M360" s="76"/>
      <c r="N360" s="70"/>
      <c r="O360" s="78" t="s">
        <v>305</v>
      </c>
      <c r="P360" s="78" t="s">
        <v>421</v>
      </c>
      <c r="Q360" s="78" t="s">
        <v>848</v>
      </c>
      <c r="R360" s="78" t="s">
        <v>1391</v>
      </c>
      <c r="S360" s="78"/>
      <c r="T360" s="78"/>
      <c r="U360" s="78"/>
      <c r="V360" s="78"/>
      <c r="W360" s="81" t="s">
        <v>1674</v>
      </c>
      <c r="X360" s="81" t="s">
        <v>1674</v>
      </c>
      <c r="Y360" s="78"/>
      <c r="Z360" s="78"/>
      <c r="AA360" s="81" t="s">
        <v>1674</v>
      </c>
      <c r="AB360" s="79">
        <v>17</v>
      </c>
      <c r="AC360" s="80" t="str">
        <f>REPLACE(INDEX(GroupVertices[Group],MATCH("~"&amp;Edges[[#This Row],[Vertex 1]],GroupVertices[Vertex],0)),1,1,"")</f>
        <v>2</v>
      </c>
      <c r="AD360" s="80" t="str">
        <f>REPLACE(INDEX(GroupVertices[Group],MATCH("~"&amp;Edges[[#This Row],[Vertex 2]],GroupVertices[Vertex],0)),1,1,"")</f>
        <v>2</v>
      </c>
      <c r="AE360" s="105"/>
      <c r="AF360" s="105"/>
      <c r="AG360" s="105"/>
      <c r="AH360" s="105"/>
      <c r="AI360" s="105"/>
      <c r="AJ360" s="105"/>
      <c r="AK360" s="105"/>
      <c r="AL360" s="105"/>
      <c r="AM360" s="105"/>
    </row>
    <row r="361" spans="1:39" ht="15">
      <c r="A361" s="62" t="s">
        <v>270</v>
      </c>
      <c r="B361" s="62" t="s">
        <v>240</v>
      </c>
      <c r="C361" s="63" t="s">
        <v>3606</v>
      </c>
      <c r="D361" s="64">
        <v>9.210526315789473</v>
      </c>
      <c r="E361" s="65" t="s">
        <v>136</v>
      </c>
      <c r="F361" s="66">
        <v>24.150943396226417</v>
      </c>
      <c r="G361" s="63"/>
      <c r="H361" s="67"/>
      <c r="I361" s="68"/>
      <c r="J361" s="68"/>
      <c r="K361" s="31" t="s">
        <v>65</v>
      </c>
      <c r="L361" s="76">
        <v>361</v>
      </c>
      <c r="M361" s="76"/>
      <c r="N361" s="70"/>
      <c r="O361" s="78" t="s">
        <v>305</v>
      </c>
      <c r="P361" s="78" t="s">
        <v>421</v>
      </c>
      <c r="Q361" s="78" t="s">
        <v>849</v>
      </c>
      <c r="R361" s="78" t="s">
        <v>1391</v>
      </c>
      <c r="S361" s="78"/>
      <c r="T361" s="78"/>
      <c r="U361" s="78"/>
      <c r="V361" s="78"/>
      <c r="W361" s="81" t="s">
        <v>1674</v>
      </c>
      <c r="X361" s="81" t="s">
        <v>1674</v>
      </c>
      <c r="Y361" s="78"/>
      <c r="Z361" s="78"/>
      <c r="AA361" s="81" t="s">
        <v>1674</v>
      </c>
      <c r="AB361" s="79">
        <v>17</v>
      </c>
      <c r="AC361" s="80" t="str">
        <f>REPLACE(INDEX(GroupVertices[Group],MATCH("~"&amp;Edges[[#This Row],[Vertex 1]],GroupVertices[Vertex],0)),1,1,"")</f>
        <v>2</v>
      </c>
      <c r="AD361" s="80" t="str">
        <f>REPLACE(INDEX(GroupVertices[Group],MATCH("~"&amp;Edges[[#This Row],[Vertex 2]],GroupVertices[Vertex],0)),1,1,"")</f>
        <v>2</v>
      </c>
      <c r="AE361" s="105"/>
      <c r="AF361" s="105"/>
      <c r="AG361" s="105"/>
      <c r="AH361" s="105"/>
      <c r="AI361" s="105"/>
      <c r="AJ361" s="105"/>
      <c r="AK361" s="105"/>
      <c r="AL361" s="105"/>
      <c r="AM361" s="105"/>
    </row>
    <row r="362" spans="1:39" ht="15">
      <c r="A362" s="62" t="s">
        <v>270</v>
      </c>
      <c r="B362" s="62" t="s">
        <v>240</v>
      </c>
      <c r="C362" s="63" t="s">
        <v>3606</v>
      </c>
      <c r="D362" s="64">
        <v>9.210526315789473</v>
      </c>
      <c r="E362" s="65" t="s">
        <v>136</v>
      </c>
      <c r="F362" s="66">
        <v>24.150943396226417</v>
      </c>
      <c r="G362" s="63"/>
      <c r="H362" s="67"/>
      <c r="I362" s="68"/>
      <c r="J362" s="68"/>
      <c r="K362" s="31" t="s">
        <v>65</v>
      </c>
      <c r="L362" s="76">
        <v>362</v>
      </c>
      <c r="M362" s="76"/>
      <c r="N362" s="70"/>
      <c r="O362" s="78" t="s">
        <v>305</v>
      </c>
      <c r="P362" s="78" t="s">
        <v>421</v>
      </c>
      <c r="Q362" s="78" t="s">
        <v>849</v>
      </c>
      <c r="R362" s="78" t="s">
        <v>1391</v>
      </c>
      <c r="S362" s="78"/>
      <c r="T362" s="78"/>
      <c r="U362" s="78"/>
      <c r="V362" s="78"/>
      <c r="W362" s="81" t="s">
        <v>1674</v>
      </c>
      <c r="X362" s="81" t="s">
        <v>1674</v>
      </c>
      <c r="Y362" s="78"/>
      <c r="Z362" s="78"/>
      <c r="AA362" s="81" t="s">
        <v>1674</v>
      </c>
      <c r="AB362" s="79">
        <v>17</v>
      </c>
      <c r="AC362" s="80" t="str">
        <f>REPLACE(INDEX(GroupVertices[Group],MATCH("~"&amp;Edges[[#This Row],[Vertex 1]],GroupVertices[Vertex],0)),1,1,"")</f>
        <v>2</v>
      </c>
      <c r="AD362" s="80" t="str">
        <f>REPLACE(INDEX(GroupVertices[Group],MATCH("~"&amp;Edges[[#This Row],[Vertex 2]],GroupVertices[Vertex],0)),1,1,"")</f>
        <v>2</v>
      </c>
      <c r="AE362" s="105"/>
      <c r="AF362" s="105"/>
      <c r="AG362" s="105"/>
      <c r="AH362" s="105"/>
      <c r="AI362" s="105"/>
      <c r="AJ362" s="105"/>
      <c r="AK362" s="105"/>
      <c r="AL362" s="105"/>
      <c r="AM362" s="105"/>
    </row>
    <row r="363" spans="1:39" ht="15">
      <c r="A363" s="62" t="s">
        <v>270</v>
      </c>
      <c r="B363" s="62" t="s">
        <v>240</v>
      </c>
      <c r="C363" s="63" t="s">
        <v>3606</v>
      </c>
      <c r="D363" s="64">
        <v>9.210526315789473</v>
      </c>
      <c r="E363" s="65" t="s">
        <v>136</v>
      </c>
      <c r="F363" s="66">
        <v>24.150943396226417</v>
      </c>
      <c r="G363" s="63"/>
      <c r="H363" s="67"/>
      <c r="I363" s="68"/>
      <c r="J363" s="68"/>
      <c r="K363" s="31" t="s">
        <v>65</v>
      </c>
      <c r="L363" s="76">
        <v>363</v>
      </c>
      <c r="M363" s="76"/>
      <c r="N363" s="70"/>
      <c r="O363" s="78" t="s">
        <v>305</v>
      </c>
      <c r="P363" s="78" t="s">
        <v>421</v>
      </c>
      <c r="Q363" s="78" t="s">
        <v>850</v>
      </c>
      <c r="R363" s="78" t="s">
        <v>1391</v>
      </c>
      <c r="S363" s="78"/>
      <c r="T363" s="78"/>
      <c r="U363" s="78"/>
      <c r="V363" s="78"/>
      <c r="W363" s="81" t="s">
        <v>1674</v>
      </c>
      <c r="X363" s="81" t="s">
        <v>1674</v>
      </c>
      <c r="Y363" s="78"/>
      <c r="Z363" s="78"/>
      <c r="AA363" s="81" t="s">
        <v>1674</v>
      </c>
      <c r="AB363" s="79">
        <v>17</v>
      </c>
      <c r="AC363" s="80" t="str">
        <f>REPLACE(INDEX(GroupVertices[Group],MATCH("~"&amp;Edges[[#This Row],[Vertex 1]],GroupVertices[Vertex],0)),1,1,"")</f>
        <v>2</v>
      </c>
      <c r="AD363" s="80" t="str">
        <f>REPLACE(INDEX(GroupVertices[Group],MATCH("~"&amp;Edges[[#This Row],[Vertex 2]],GroupVertices[Vertex],0)),1,1,"")</f>
        <v>2</v>
      </c>
      <c r="AE363" s="105"/>
      <c r="AF363" s="105"/>
      <c r="AG363" s="105"/>
      <c r="AH363" s="105"/>
      <c r="AI363" s="105"/>
      <c r="AJ363" s="105"/>
      <c r="AK363" s="105"/>
      <c r="AL363" s="105"/>
      <c r="AM363" s="105"/>
    </row>
    <row r="364" spans="1:39" ht="15">
      <c r="A364" s="62" t="s">
        <v>270</v>
      </c>
      <c r="B364" s="62" t="s">
        <v>240</v>
      </c>
      <c r="C364" s="63" t="s">
        <v>3606</v>
      </c>
      <c r="D364" s="64">
        <v>9.210526315789473</v>
      </c>
      <c r="E364" s="65" t="s">
        <v>136</v>
      </c>
      <c r="F364" s="66">
        <v>24.150943396226417</v>
      </c>
      <c r="G364" s="63"/>
      <c r="H364" s="67"/>
      <c r="I364" s="68"/>
      <c r="J364" s="68"/>
      <c r="K364" s="31" t="s">
        <v>65</v>
      </c>
      <c r="L364" s="76">
        <v>364</v>
      </c>
      <c r="M364" s="76"/>
      <c r="N364" s="70"/>
      <c r="O364" s="78" t="s">
        <v>305</v>
      </c>
      <c r="P364" s="78" t="s">
        <v>422</v>
      </c>
      <c r="Q364" s="78" t="s">
        <v>851</v>
      </c>
      <c r="R364" s="78" t="s">
        <v>851</v>
      </c>
      <c r="S364" s="78"/>
      <c r="T364" s="78"/>
      <c r="U364" s="78"/>
      <c r="V364" s="78"/>
      <c r="W364" s="81" t="s">
        <v>1674</v>
      </c>
      <c r="X364" s="81" t="s">
        <v>1674</v>
      </c>
      <c r="Y364" s="78"/>
      <c r="Z364" s="78"/>
      <c r="AA364" s="81" t="s">
        <v>1674</v>
      </c>
      <c r="AB364" s="79">
        <v>17</v>
      </c>
      <c r="AC364" s="80" t="str">
        <f>REPLACE(INDEX(GroupVertices[Group],MATCH("~"&amp;Edges[[#This Row],[Vertex 1]],GroupVertices[Vertex],0)),1,1,"")</f>
        <v>2</v>
      </c>
      <c r="AD364" s="80" t="str">
        <f>REPLACE(INDEX(GroupVertices[Group],MATCH("~"&amp;Edges[[#This Row],[Vertex 2]],GroupVertices[Vertex],0)),1,1,"")</f>
        <v>2</v>
      </c>
      <c r="AE364" s="105"/>
      <c r="AF364" s="105"/>
      <c r="AG364" s="105"/>
      <c r="AH364" s="105"/>
      <c r="AI364" s="105"/>
      <c r="AJ364" s="105"/>
      <c r="AK364" s="105"/>
      <c r="AL364" s="105"/>
      <c r="AM364" s="105"/>
    </row>
    <row r="365" spans="1:39" ht="15">
      <c r="A365" s="62" t="s">
        <v>270</v>
      </c>
      <c r="B365" s="62" t="s">
        <v>240</v>
      </c>
      <c r="C365" s="63" t="s">
        <v>3606</v>
      </c>
      <c r="D365" s="64">
        <v>9.210526315789473</v>
      </c>
      <c r="E365" s="65" t="s">
        <v>136</v>
      </c>
      <c r="F365" s="66">
        <v>24.150943396226417</v>
      </c>
      <c r="G365" s="63"/>
      <c r="H365" s="67"/>
      <c r="I365" s="68"/>
      <c r="J365" s="68"/>
      <c r="K365" s="31" t="s">
        <v>65</v>
      </c>
      <c r="L365" s="76">
        <v>365</v>
      </c>
      <c r="M365" s="76"/>
      <c r="N365" s="70"/>
      <c r="O365" s="78" t="s">
        <v>305</v>
      </c>
      <c r="P365" s="78" t="s">
        <v>423</v>
      </c>
      <c r="Q365" s="78" t="s">
        <v>852</v>
      </c>
      <c r="R365" s="78" t="s">
        <v>1392</v>
      </c>
      <c r="S365" s="78"/>
      <c r="T365" s="78"/>
      <c r="U365" s="78"/>
      <c r="V365" s="78"/>
      <c r="W365" s="81" t="s">
        <v>1674</v>
      </c>
      <c r="X365" s="81" t="s">
        <v>1674</v>
      </c>
      <c r="Y365" s="78"/>
      <c r="Z365" s="78"/>
      <c r="AA365" s="81" t="s">
        <v>1674</v>
      </c>
      <c r="AB365" s="79">
        <v>17</v>
      </c>
      <c r="AC365" s="80" t="str">
        <f>REPLACE(INDEX(GroupVertices[Group],MATCH("~"&amp;Edges[[#This Row],[Vertex 1]],GroupVertices[Vertex],0)),1,1,"")</f>
        <v>2</v>
      </c>
      <c r="AD365" s="80" t="str">
        <f>REPLACE(INDEX(GroupVertices[Group],MATCH("~"&amp;Edges[[#This Row],[Vertex 2]],GroupVertices[Vertex],0)),1,1,"")</f>
        <v>2</v>
      </c>
      <c r="AE365" s="105"/>
      <c r="AF365" s="105"/>
      <c r="AG365" s="105"/>
      <c r="AH365" s="105"/>
      <c r="AI365" s="105"/>
      <c r="AJ365" s="105"/>
      <c r="AK365" s="105"/>
      <c r="AL365" s="105"/>
      <c r="AM365" s="105"/>
    </row>
    <row r="366" spans="1:39" ht="15">
      <c r="A366" s="62" t="s">
        <v>270</v>
      </c>
      <c r="B366" s="62" t="s">
        <v>240</v>
      </c>
      <c r="C366" s="63" t="s">
        <v>3606</v>
      </c>
      <c r="D366" s="64">
        <v>9.210526315789473</v>
      </c>
      <c r="E366" s="65" t="s">
        <v>136</v>
      </c>
      <c r="F366" s="66">
        <v>24.150943396226417</v>
      </c>
      <c r="G366" s="63"/>
      <c r="H366" s="67"/>
      <c r="I366" s="68"/>
      <c r="J366" s="68"/>
      <c r="K366" s="31" t="s">
        <v>65</v>
      </c>
      <c r="L366" s="76">
        <v>366</v>
      </c>
      <c r="M366" s="76"/>
      <c r="N366" s="70"/>
      <c r="O366" s="78" t="s">
        <v>305</v>
      </c>
      <c r="P366" s="78" t="s">
        <v>424</v>
      </c>
      <c r="Q366" s="78" t="s">
        <v>853</v>
      </c>
      <c r="R366" s="78" t="s">
        <v>1393</v>
      </c>
      <c r="S366" s="78"/>
      <c r="T366" s="78"/>
      <c r="U366" s="78"/>
      <c r="V366" s="78"/>
      <c r="W366" s="81" t="s">
        <v>1674</v>
      </c>
      <c r="X366" s="81" t="s">
        <v>1674</v>
      </c>
      <c r="Y366" s="78"/>
      <c r="Z366" s="78"/>
      <c r="AA366" s="81" t="s">
        <v>1674</v>
      </c>
      <c r="AB366" s="79">
        <v>17</v>
      </c>
      <c r="AC366" s="80" t="str">
        <f>REPLACE(INDEX(GroupVertices[Group],MATCH("~"&amp;Edges[[#This Row],[Vertex 1]],GroupVertices[Vertex],0)),1,1,"")</f>
        <v>2</v>
      </c>
      <c r="AD366" s="80" t="str">
        <f>REPLACE(INDEX(GroupVertices[Group],MATCH("~"&amp;Edges[[#This Row],[Vertex 2]],GroupVertices[Vertex],0)),1,1,"")</f>
        <v>2</v>
      </c>
      <c r="AE366" s="105"/>
      <c r="AF366" s="105"/>
      <c r="AG366" s="105"/>
      <c r="AH366" s="105"/>
      <c r="AI366" s="105"/>
      <c r="AJ366" s="105"/>
      <c r="AK366" s="105"/>
      <c r="AL366" s="105"/>
      <c r="AM366" s="105"/>
    </row>
    <row r="367" spans="1:39" ht="15">
      <c r="A367" s="62" t="s">
        <v>270</v>
      </c>
      <c r="B367" s="62" t="s">
        <v>240</v>
      </c>
      <c r="C367" s="63" t="s">
        <v>3606</v>
      </c>
      <c r="D367" s="64">
        <v>9.210526315789473</v>
      </c>
      <c r="E367" s="65" t="s">
        <v>136</v>
      </c>
      <c r="F367" s="66">
        <v>24.150943396226417</v>
      </c>
      <c r="G367" s="63"/>
      <c r="H367" s="67"/>
      <c r="I367" s="68"/>
      <c r="J367" s="68"/>
      <c r="K367" s="31" t="s">
        <v>65</v>
      </c>
      <c r="L367" s="76">
        <v>367</v>
      </c>
      <c r="M367" s="76"/>
      <c r="N367" s="70"/>
      <c r="O367" s="78" t="s">
        <v>305</v>
      </c>
      <c r="P367" s="78" t="s">
        <v>424</v>
      </c>
      <c r="Q367" s="78" t="s">
        <v>854</v>
      </c>
      <c r="R367" s="78" t="s">
        <v>1393</v>
      </c>
      <c r="S367" s="78"/>
      <c r="T367" s="78"/>
      <c r="U367" s="78"/>
      <c r="V367" s="78"/>
      <c r="W367" s="81" t="s">
        <v>1674</v>
      </c>
      <c r="X367" s="81" t="s">
        <v>1674</v>
      </c>
      <c r="Y367" s="78"/>
      <c r="Z367" s="78"/>
      <c r="AA367" s="81" t="s">
        <v>1674</v>
      </c>
      <c r="AB367" s="79">
        <v>17</v>
      </c>
      <c r="AC367" s="80" t="str">
        <f>REPLACE(INDEX(GroupVertices[Group],MATCH("~"&amp;Edges[[#This Row],[Vertex 1]],GroupVertices[Vertex],0)),1,1,"")</f>
        <v>2</v>
      </c>
      <c r="AD367" s="80" t="str">
        <f>REPLACE(INDEX(GroupVertices[Group],MATCH("~"&amp;Edges[[#This Row],[Vertex 2]],GroupVertices[Vertex],0)),1,1,"")</f>
        <v>2</v>
      </c>
      <c r="AE367" s="105"/>
      <c r="AF367" s="105"/>
      <c r="AG367" s="105"/>
      <c r="AH367" s="105"/>
      <c r="AI367" s="105"/>
      <c r="AJ367" s="105"/>
      <c r="AK367" s="105"/>
      <c r="AL367" s="105"/>
      <c r="AM367" s="105"/>
    </row>
    <row r="368" spans="1:39" ht="15">
      <c r="A368" s="62" t="s">
        <v>270</v>
      </c>
      <c r="B368" s="62" t="s">
        <v>240</v>
      </c>
      <c r="C368" s="63" t="s">
        <v>3606</v>
      </c>
      <c r="D368" s="64">
        <v>9.210526315789473</v>
      </c>
      <c r="E368" s="65" t="s">
        <v>136</v>
      </c>
      <c r="F368" s="66">
        <v>24.150943396226417</v>
      </c>
      <c r="G368" s="63"/>
      <c r="H368" s="67"/>
      <c r="I368" s="68"/>
      <c r="J368" s="68"/>
      <c r="K368" s="31" t="s">
        <v>65</v>
      </c>
      <c r="L368" s="76">
        <v>368</v>
      </c>
      <c r="M368" s="76"/>
      <c r="N368" s="70"/>
      <c r="O368" s="78" t="s">
        <v>305</v>
      </c>
      <c r="P368" s="78" t="s">
        <v>424</v>
      </c>
      <c r="Q368" s="78" t="s">
        <v>855</v>
      </c>
      <c r="R368" s="78" t="s">
        <v>1393</v>
      </c>
      <c r="S368" s="78"/>
      <c r="T368" s="78"/>
      <c r="U368" s="78"/>
      <c r="V368" s="78"/>
      <c r="W368" s="81" t="s">
        <v>1674</v>
      </c>
      <c r="X368" s="81" t="s">
        <v>1674</v>
      </c>
      <c r="Y368" s="78"/>
      <c r="Z368" s="78"/>
      <c r="AA368" s="81" t="s">
        <v>1674</v>
      </c>
      <c r="AB368" s="79">
        <v>17</v>
      </c>
      <c r="AC368" s="80" t="str">
        <f>REPLACE(INDEX(GroupVertices[Group],MATCH("~"&amp;Edges[[#This Row],[Vertex 1]],GroupVertices[Vertex],0)),1,1,"")</f>
        <v>2</v>
      </c>
      <c r="AD368" s="80" t="str">
        <f>REPLACE(INDEX(GroupVertices[Group],MATCH("~"&amp;Edges[[#This Row],[Vertex 2]],GroupVertices[Vertex],0)),1,1,"")</f>
        <v>2</v>
      </c>
      <c r="AE368" s="105"/>
      <c r="AF368" s="105"/>
      <c r="AG368" s="105"/>
      <c r="AH368" s="105"/>
      <c r="AI368" s="105"/>
      <c r="AJ368" s="105"/>
      <c r="AK368" s="105"/>
      <c r="AL368" s="105"/>
      <c r="AM368" s="105"/>
    </row>
    <row r="369" spans="1:39" ht="15">
      <c r="A369" s="62" t="s">
        <v>270</v>
      </c>
      <c r="B369" s="62" t="s">
        <v>240</v>
      </c>
      <c r="C369" s="63" t="s">
        <v>3606</v>
      </c>
      <c r="D369" s="64">
        <v>9.210526315789473</v>
      </c>
      <c r="E369" s="65" t="s">
        <v>136</v>
      </c>
      <c r="F369" s="66">
        <v>24.150943396226417</v>
      </c>
      <c r="G369" s="63"/>
      <c r="H369" s="67"/>
      <c r="I369" s="68"/>
      <c r="J369" s="68"/>
      <c r="K369" s="31" t="s">
        <v>65</v>
      </c>
      <c r="L369" s="76">
        <v>369</v>
      </c>
      <c r="M369" s="76"/>
      <c r="N369" s="70"/>
      <c r="O369" s="78" t="s">
        <v>305</v>
      </c>
      <c r="P369" s="78" t="s">
        <v>425</v>
      </c>
      <c r="Q369" s="78" t="s">
        <v>856</v>
      </c>
      <c r="R369" s="78" t="s">
        <v>1394</v>
      </c>
      <c r="S369" s="78"/>
      <c r="T369" s="78"/>
      <c r="U369" s="78"/>
      <c r="V369" s="78"/>
      <c r="W369" s="81" t="s">
        <v>1674</v>
      </c>
      <c r="X369" s="81" t="s">
        <v>1674</v>
      </c>
      <c r="Y369" s="78"/>
      <c r="Z369" s="78"/>
      <c r="AA369" s="81" t="s">
        <v>1674</v>
      </c>
      <c r="AB369" s="79">
        <v>17</v>
      </c>
      <c r="AC369" s="80" t="str">
        <f>REPLACE(INDEX(GroupVertices[Group],MATCH("~"&amp;Edges[[#This Row],[Vertex 1]],GroupVertices[Vertex],0)),1,1,"")</f>
        <v>2</v>
      </c>
      <c r="AD369" s="80" t="str">
        <f>REPLACE(INDEX(GroupVertices[Group],MATCH("~"&amp;Edges[[#This Row],[Vertex 2]],GroupVertices[Vertex],0)),1,1,"")</f>
        <v>2</v>
      </c>
      <c r="AE369" s="105"/>
      <c r="AF369" s="105"/>
      <c r="AG369" s="105"/>
      <c r="AH369" s="105"/>
      <c r="AI369" s="105"/>
      <c r="AJ369" s="105"/>
      <c r="AK369" s="105"/>
      <c r="AL369" s="105"/>
      <c r="AM369" s="105"/>
    </row>
    <row r="370" spans="1:39" ht="15">
      <c r="A370" s="62" t="s">
        <v>270</v>
      </c>
      <c r="B370" s="62" t="s">
        <v>240</v>
      </c>
      <c r="C370" s="63" t="s">
        <v>3606</v>
      </c>
      <c r="D370" s="64">
        <v>9.210526315789473</v>
      </c>
      <c r="E370" s="65" t="s">
        <v>136</v>
      </c>
      <c r="F370" s="66">
        <v>24.150943396226417</v>
      </c>
      <c r="G370" s="63"/>
      <c r="H370" s="67"/>
      <c r="I370" s="68"/>
      <c r="J370" s="68"/>
      <c r="K370" s="31" t="s">
        <v>65</v>
      </c>
      <c r="L370" s="76">
        <v>370</v>
      </c>
      <c r="M370" s="76"/>
      <c r="N370" s="70"/>
      <c r="O370" s="78" t="s">
        <v>305</v>
      </c>
      <c r="P370" s="78" t="s">
        <v>408</v>
      </c>
      <c r="Q370" s="78" t="s">
        <v>830</v>
      </c>
      <c r="R370" s="78" t="s">
        <v>828</v>
      </c>
      <c r="S370" s="78"/>
      <c r="T370" s="78"/>
      <c r="U370" s="78"/>
      <c r="V370" s="78"/>
      <c r="W370" s="81" t="s">
        <v>1674</v>
      </c>
      <c r="X370" s="81" t="s">
        <v>1674</v>
      </c>
      <c r="Y370" s="78"/>
      <c r="Z370" s="78"/>
      <c r="AA370" s="81" t="s">
        <v>1674</v>
      </c>
      <c r="AB370" s="79">
        <v>17</v>
      </c>
      <c r="AC370" s="80" t="str">
        <f>REPLACE(INDEX(GroupVertices[Group],MATCH("~"&amp;Edges[[#This Row],[Vertex 1]],GroupVertices[Vertex],0)),1,1,"")</f>
        <v>2</v>
      </c>
      <c r="AD370" s="80" t="str">
        <f>REPLACE(INDEX(GroupVertices[Group],MATCH("~"&amp;Edges[[#This Row],[Vertex 2]],GroupVertices[Vertex],0)),1,1,"")</f>
        <v>2</v>
      </c>
      <c r="AE370" s="105"/>
      <c r="AF370" s="105"/>
      <c r="AG370" s="105"/>
      <c r="AH370" s="105"/>
      <c r="AI370" s="105"/>
      <c r="AJ370" s="105"/>
      <c r="AK370" s="105"/>
      <c r="AL370" s="105"/>
      <c r="AM370" s="105"/>
    </row>
    <row r="371" spans="1:39" ht="15">
      <c r="A371" s="62" t="s">
        <v>270</v>
      </c>
      <c r="B371" s="62" t="s">
        <v>240</v>
      </c>
      <c r="C371" s="63" t="s">
        <v>3606</v>
      </c>
      <c r="D371" s="64">
        <v>9.210526315789473</v>
      </c>
      <c r="E371" s="65" t="s">
        <v>136</v>
      </c>
      <c r="F371" s="66">
        <v>24.150943396226417</v>
      </c>
      <c r="G371" s="63"/>
      <c r="H371" s="67"/>
      <c r="I371" s="68"/>
      <c r="J371" s="68"/>
      <c r="K371" s="31" t="s">
        <v>65</v>
      </c>
      <c r="L371" s="76">
        <v>371</v>
      </c>
      <c r="M371" s="76"/>
      <c r="N371" s="70"/>
      <c r="O371" s="78" t="s">
        <v>305</v>
      </c>
      <c r="P371" s="78" t="s">
        <v>426</v>
      </c>
      <c r="Q371" s="78" t="s">
        <v>857</v>
      </c>
      <c r="R371" s="78" t="s">
        <v>1395</v>
      </c>
      <c r="S371" s="78"/>
      <c r="T371" s="78"/>
      <c r="U371" s="78"/>
      <c r="V371" s="78"/>
      <c r="W371" s="81" t="s">
        <v>1674</v>
      </c>
      <c r="X371" s="81" t="s">
        <v>1674</v>
      </c>
      <c r="Y371" s="78"/>
      <c r="Z371" s="78"/>
      <c r="AA371" s="81" t="s">
        <v>1674</v>
      </c>
      <c r="AB371" s="79">
        <v>17</v>
      </c>
      <c r="AC371" s="80" t="str">
        <f>REPLACE(INDEX(GroupVertices[Group],MATCH("~"&amp;Edges[[#This Row],[Vertex 1]],GroupVertices[Vertex],0)),1,1,"")</f>
        <v>2</v>
      </c>
      <c r="AD371" s="80" t="str">
        <f>REPLACE(INDEX(GroupVertices[Group],MATCH("~"&amp;Edges[[#This Row],[Vertex 2]],GroupVertices[Vertex],0)),1,1,"")</f>
        <v>2</v>
      </c>
      <c r="AE371" s="105"/>
      <c r="AF371" s="105"/>
      <c r="AG371" s="105"/>
      <c r="AH371" s="105"/>
      <c r="AI371" s="105"/>
      <c r="AJ371" s="105"/>
      <c r="AK371" s="105"/>
      <c r="AL371" s="105"/>
      <c r="AM371" s="105"/>
    </row>
    <row r="372" spans="1:39" ht="15">
      <c r="A372" s="62" t="s">
        <v>270</v>
      </c>
      <c r="B372" s="62" t="s">
        <v>240</v>
      </c>
      <c r="C372" s="63" t="s">
        <v>3606</v>
      </c>
      <c r="D372" s="64">
        <v>9.210526315789473</v>
      </c>
      <c r="E372" s="65" t="s">
        <v>136</v>
      </c>
      <c r="F372" s="66">
        <v>24.150943396226417</v>
      </c>
      <c r="G372" s="63"/>
      <c r="H372" s="67"/>
      <c r="I372" s="68"/>
      <c r="J372" s="68"/>
      <c r="K372" s="31" t="s">
        <v>65</v>
      </c>
      <c r="L372" s="76">
        <v>372</v>
      </c>
      <c r="M372" s="76"/>
      <c r="N372" s="70"/>
      <c r="O372" s="78" t="s">
        <v>305</v>
      </c>
      <c r="P372" s="78" t="s">
        <v>427</v>
      </c>
      <c r="Q372" s="78" t="s">
        <v>858</v>
      </c>
      <c r="R372" s="78" t="s">
        <v>1396</v>
      </c>
      <c r="S372" s="78"/>
      <c r="T372" s="78"/>
      <c r="U372" s="78"/>
      <c r="V372" s="78"/>
      <c r="W372" s="81" t="s">
        <v>1674</v>
      </c>
      <c r="X372" s="81" t="s">
        <v>1674</v>
      </c>
      <c r="Y372" s="78"/>
      <c r="Z372" s="78"/>
      <c r="AA372" s="81" t="s">
        <v>1674</v>
      </c>
      <c r="AB372" s="79">
        <v>17</v>
      </c>
      <c r="AC372" s="80" t="str">
        <f>REPLACE(INDEX(GroupVertices[Group],MATCH("~"&amp;Edges[[#This Row],[Vertex 1]],GroupVertices[Vertex],0)),1,1,"")</f>
        <v>2</v>
      </c>
      <c r="AD372" s="80" t="str">
        <f>REPLACE(INDEX(GroupVertices[Group],MATCH("~"&amp;Edges[[#This Row],[Vertex 2]],GroupVertices[Vertex],0)),1,1,"")</f>
        <v>2</v>
      </c>
      <c r="AE372" s="105"/>
      <c r="AF372" s="105"/>
      <c r="AG372" s="105"/>
      <c r="AH372" s="105"/>
      <c r="AI372" s="105"/>
      <c r="AJ372" s="105"/>
      <c r="AK372" s="105"/>
      <c r="AL372" s="105"/>
      <c r="AM372" s="105"/>
    </row>
    <row r="373" spans="1:39" ht="15">
      <c r="A373" s="62" t="s">
        <v>254</v>
      </c>
      <c r="B373" s="62" t="s">
        <v>240</v>
      </c>
      <c r="C373" s="63" t="s">
        <v>3598</v>
      </c>
      <c r="D373" s="64">
        <v>5</v>
      </c>
      <c r="E373" s="65" t="s">
        <v>132</v>
      </c>
      <c r="F373" s="66">
        <v>32</v>
      </c>
      <c r="G373" s="63"/>
      <c r="H373" s="67"/>
      <c r="I373" s="68"/>
      <c r="J373" s="68"/>
      <c r="K373" s="31" t="s">
        <v>65</v>
      </c>
      <c r="L373" s="76">
        <v>373</v>
      </c>
      <c r="M373" s="76"/>
      <c r="N373" s="70"/>
      <c r="O373" s="78" t="s">
        <v>305</v>
      </c>
      <c r="P373" s="78" t="s">
        <v>428</v>
      </c>
      <c r="Q373" s="78" t="s">
        <v>859</v>
      </c>
      <c r="R373" s="78" t="s">
        <v>1397</v>
      </c>
      <c r="S373" s="78"/>
      <c r="T373" s="78"/>
      <c r="U373" s="78"/>
      <c r="V373" s="78"/>
      <c r="W373" s="81" t="s">
        <v>1674</v>
      </c>
      <c r="X373" s="81" t="s">
        <v>1674</v>
      </c>
      <c r="Y373" s="78"/>
      <c r="Z373" s="78"/>
      <c r="AA373" s="81" t="s">
        <v>1674</v>
      </c>
      <c r="AB373" s="79">
        <v>1</v>
      </c>
      <c r="AC373" s="80" t="str">
        <f>REPLACE(INDEX(GroupVertices[Group],MATCH("~"&amp;Edges[[#This Row],[Vertex 1]],GroupVertices[Vertex],0)),1,1,"")</f>
        <v>2</v>
      </c>
      <c r="AD373" s="80" t="str">
        <f>REPLACE(INDEX(GroupVertices[Group],MATCH("~"&amp;Edges[[#This Row],[Vertex 2]],GroupVertices[Vertex],0)),1,1,"")</f>
        <v>2</v>
      </c>
      <c r="AE373" s="105"/>
      <c r="AF373" s="105"/>
      <c r="AG373" s="105"/>
      <c r="AH373" s="105"/>
      <c r="AI373" s="105"/>
      <c r="AJ373" s="105"/>
      <c r="AK373" s="105"/>
      <c r="AL373" s="105"/>
      <c r="AM373" s="105"/>
    </row>
    <row r="374" spans="1:39" ht="15">
      <c r="A374" s="62" t="s">
        <v>271</v>
      </c>
      <c r="B374" s="62" t="s">
        <v>240</v>
      </c>
      <c r="C374" s="63" t="s">
        <v>3598</v>
      </c>
      <c r="D374" s="64">
        <v>5</v>
      </c>
      <c r="E374" s="65" t="s">
        <v>132</v>
      </c>
      <c r="F374" s="66">
        <v>32</v>
      </c>
      <c r="G374" s="63"/>
      <c r="H374" s="67"/>
      <c r="I374" s="68"/>
      <c r="J374" s="68"/>
      <c r="K374" s="31" t="s">
        <v>65</v>
      </c>
      <c r="L374" s="76">
        <v>374</v>
      </c>
      <c r="M374" s="76"/>
      <c r="N374" s="70"/>
      <c r="O374" s="78" t="s">
        <v>305</v>
      </c>
      <c r="P374" s="78" t="s">
        <v>408</v>
      </c>
      <c r="Q374" s="78" t="s">
        <v>839</v>
      </c>
      <c r="R374" s="78" t="s">
        <v>828</v>
      </c>
      <c r="S374" s="78"/>
      <c r="T374" s="78"/>
      <c r="U374" s="78"/>
      <c r="V374" s="78"/>
      <c r="W374" s="81" t="s">
        <v>1674</v>
      </c>
      <c r="X374" s="81" t="s">
        <v>1674</v>
      </c>
      <c r="Y374" s="78"/>
      <c r="Z374" s="78"/>
      <c r="AA374" s="81" t="s">
        <v>1674</v>
      </c>
      <c r="AB374" s="79">
        <v>1</v>
      </c>
      <c r="AC374" s="80" t="str">
        <f>REPLACE(INDEX(GroupVertices[Group],MATCH("~"&amp;Edges[[#This Row],[Vertex 1]],GroupVertices[Vertex],0)),1,1,"")</f>
        <v>2</v>
      </c>
      <c r="AD374" s="80" t="str">
        <f>REPLACE(INDEX(GroupVertices[Group],MATCH("~"&amp;Edges[[#This Row],[Vertex 2]],GroupVertices[Vertex],0)),1,1,"")</f>
        <v>2</v>
      </c>
      <c r="AE374" s="105"/>
      <c r="AF374" s="105"/>
      <c r="AG374" s="105"/>
      <c r="AH374" s="105"/>
      <c r="AI374" s="105"/>
      <c r="AJ374" s="105"/>
      <c r="AK374" s="105"/>
      <c r="AL374" s="105"/>
      <c r="AM374" s="105"/>
    </row>
    <row r="375" spans="1:39" ht="15">
      <c r="A375" s="62" t="s">
        <v>261</v>
      </c>
      <c r="B375" s="62" t="s">
        <v>270</v>
      </c>
      <c r="C375" s="63" t="s">
        <v>3598</v>
      </c>
      <c r="D375" s="64">
        <v>5</v>
      </c>
      <c r="E375" s="65" t="s">
        <v>132</v>
      </c>
      <c r="F375" s="66">
        <v>32</v>
      </c>
      <c r="G375" s="63"/>
      <c r="H375" s="67"/>
      <c r="I375" s="68"/>
      <c r="J375" s="68"/>
      <c r="K375" s="31" t="s">
        <v>65</v>
      </c>
      <c r="L375" s="76">
        <v>375</v>
      </c>
      <c r="M375" s="76"/>
      <c r="N375" s="70"/>
      <c r="O375" s="78" t="s">
        <v>305</v>
      </c>
      <c r="P375" s="78" t="s">
        <v>409</v>
      </c>
      <c r="Q375" s="78" t="s">
        <v>834</v>
      </c>
      <c r="R375" s="78" t="s">
        <v>829</v>
      </c>
      <c r="S375" s="78"/>
      <c r="T375" s="78" t="s">
        <v>1649</v>
      </c>
      <c r="U375" s="78"/>
      <c r="V375" s="78" t="s">
        <v>1670</v>
      </c>
      <c r="W375" s="81" t="s">
        <v>1674</v>
      </c>
      <c r="X375" s="81" t="s">
        <v>1674</v>
      </c>
      <c r="Y375" s="78" t="s">
        <v>1686</v>
      </c>
      <c r="Z375" s="78" t="s">
        <v>1710</v>
      </c>
      <c r="AA375" s="81" t="s">
        <v>1674</v>
      </c>
      <c r="AB375" s="79">
        <v>1</v>
      </c>
      <c r="AC375" s="80" t="str">
        <f>REPLACE(INDEX(GroupVertices[Group],MATCH("~"&amp;Edges[[#This Row],[Vertex 1]],GroupVertices[Vertex],0)),1,1,"")</f>
        <v>2</v>
      </c>
      <c r="AD375" s="80" t="str">
        <f>REPLACE(INDEX(GroupVertices[Group],MATCH("~"&amp;Edges[[#This Row],[Vertex 2]],GroupVertices[Vertex],0)),1,1,"")</f>
        <v>2</v>
      </c>
      <c r="AE375" s="105"/>
      <c r="AF375" s="105"/>
      <c r="AG375" s="105"/>
      <c r="AH375" s="105"/>
      <c r="AI375" s="105"/>
      <c r="AJ375" s="105"/>
      <c r="AK375" s="105"/>
      <c r="AL375" s="105"/>
      <c r="AM375" s="105"/>
    </row>
    <row r="376" spans="1:39" ht="15">
      <c r="A376" s="62" t="s">
        <v>261</v>
      </c>
      <c r="B376" s="62" t="s">
        <v>254</v>
      </c>
      <c r="C376" s="63" t="s">
        <v>3603</v>
      </c>
      <c r="D376" s="64">
        <v>5.7894736842105265</v>
      </c>
      <c r="E376" s="65" t="s">
        <v>136</v>
      </c>
      <c r="F376" s="66">
        <v>30.528301886792452</v>
      </c>
      <c r="G376" s="63"/>
      <c r="H376" s="67"/>
      <c r="I376" s="68"/>
      <c r="J376" s="68"/>
      <c r="K376" s="31" t="s">
        <v>65</v>
      </c>
      <c r="L376" s="76">
        <v>376</v>
      </c>
      <c r="M376" s="76"/>
      <c r="N376" s="70"/>
      <c r="O376" s="78" t="s">
        <v>305</v>
      </c>
      <c r="P376" s="78" t="s">
        <v>406</v>
      </c>
      <c r="Q376" s="78" t="s">
        <v>823</v>
      </c>
      <c r="R376" s="78" t="s">
        <v>820</v>
      </c>
      <c r="S376" s="78"/>
      <c r="T376" s="78"/>
      <c r="U376" s="78"/>
      <c r="V376" s="78"/>
      <c r="W376" s="81" t="s">
        <v>1674</v>
      </c>
      <c r="X376" s="81" t="s">
        <v>1674</v>
      </c>
      <c r="Y376" s="78"/>
      <c r="Z376" s="78"/>
      <c r="AA376" s="81" t="s">
        <v>1674</v>
      </c>
      <c r="AB376" s="79">
        <v>4</v>
      </c>
      <c r="AC376" s="80" t="str">
        <f>REPLACE(INDEX(GroupVertices[Group],MATCH("~"&amp;Edges[[#This Row],[Vertex 1]],GroupVertices[Vertex],0)),1,1,"")</f>
        <v>2</v>
      </c>
      <c r="AD376" s="80" t="str">
        <f>REPLACE(INDEX(GroupVertices[Group],MATCH("~"&amp;Edges[[#This Row],[Vertex 2]],GroupVertices[Vertex],0)),1,1,"")</f>
        <v>2</v>
      </c>
      <c r="AE376" s="105"/>
      <c r="AF376" s="105"/>
      <c r="AG376" s="105"/>
      <c r="AH376" s="105"/>
      <c r="AI376" s="105"/>
      <c r="AJ376" s="105"/>
      <c r="AK376" s="105"/>
      <c r="AL376" s="105"/>
      <c r="AM376" s="105"/>
    </row>
    <row r="377" spans="1:39" ht="15">
      <c r="A377" s="62" t="s">
        <v>261</v>
      </c>
      <c r="B377" s="62" t="s">
        <v>254</v>
      </c>
      <c r="C377" s="63" t="s">
        <v>3603</v>
      </c>
      <c r="D377" s="64">
        <v>5.7894736842105265</v>
      </c>
      <c r="E377" s="65" t="s">
        <v>136</v>
      </c>
      <c r="F377" s="66">
        <v>30.528301886792452</v>
      </c>
      <c r="G377" s="63"/>
      <c r="H377" s="67"/>
      <c r="I377" s="68"/>
      <c r="J377" s="68"/>
      <c r="K377" s="31" t="s">
        <v>65</v>
      </c>
      <c r="L377" s="76">
        <v>377</v>
      </c>
      <c r="M377" s="76"/>
      <c r="N377" s="70"/>
      <c r="O377" s="78" t="s">
        <v>305</v>
      </c>
      <c r="P377" s="78" t="s">
        <v>406</v>
      </c>
      <c r="Q377" s="78" t="s">
        <v>823</v>
      </c>
      <c r="R377" s="78" t="s">
        <v>822</v>
      </c>
      <c r="S377" s="78"/>
      <c r="T377" s="78"/>
      <c r="U377" s="78"/>
      <c r="V377" s="78"/>
      <c r="W377" s="81" t="s">
        <v>1674</v>
      </c>
      <c r="X377" s="81" t="s">
        <v>1674</v>
      </c>
      <c r="Y377" s="78"/>
      <c r="Z377" s="78"/>
      <c r="AA377" s="81" t="s">
        <v>1674</v>
      </c>
      <c r="AB377" s="79">
        <v>4</v>
      </c>
      <c r="AC377" s="80" t="str">
        <f>REPLACE(INDEX(GroupVertices[Group],MATCH("~"&amp;Edges[[#This Row],[Vertex 1]],GroupVertices[Vertex],0)),1,1,"")</f>
        <v>2</v>
      </c>
      <c r="AD377" s="80" t="str">
        <f>REPLACE(INDEX(GroupVertices[Group],MATCH("~"&amp;Edges[[#This Row],[Vertex 2]],GroupVertices[Vertex],0)),1,1,"")</f>
        <v>2</v>
      </c>
      <c r="AE377" s="105"/>
      <c r="AF377" s="105"/>
      <c r="AG377" s="105"/>
      <c r="AH377" s="105"/>
      <c r="AI377" s="105"/>
      <c r="AJ377" s="105"/>
      <c r="AK377" s="105"/>
      <c r="AL377" s="105"/>
      <c r="AM377" s="105"/>
    </row>
    <row r="378" spans="1:39" ht="15">
      <c r="A378" s="62" t="s">
        <v>261</v>
      </c>
      <c r="B378" s="62" t="s">
        <v>254</v>
      </c>
      <c r="C378" s="63" t="s">
        <v>3603</v>
      </c>
      <c r="D378" s="64">
        <v>5.7894736842105265</v>
      </c>
      <c r="E378" s="65" t="s">
        <v>136</v>
      </c>
      <c r="F378" s="66">
        <v>30.528301886792452</v>
      </c>
      <c r="G378" s="63"/>
      <c r="H378" s="67"/>
      <c r="I378" s="68"/>
      <c r="J378" s="68"/>
      <c r="K378" s="31" t="s">
        <v>65</v>
      </c>
      <c r="L378" s="76">
        <v>378</v>
      </c>
      <c r="M378" s="76"/>
      <c r="N378" s="70"/>
      <c r="O378" s="78" t="s">
        <v>305</v>
      </c>
      <c r="P378" s="78" t="s">
        <v>406</v>
      </c>
      <c r="Q378" s="78" t="s">
        <v>824</v>
      </c>
      <c r="R378" s="78" t="s">
        <v>820</v>
      </c>
      <c r="S378" s="78"/>
      <c r="T378" s="78"/>
      <c r="U378" s="78"/>
      <c r="V378" s="78"/>
      <c r="W378" s="81" t="s">
        <v>1674</v>
      </c>
      <c r="X378" s="81" t="s">
        <v>1674</v>
      </c>
      <c r="Y378" s="78"/>
      <c r="Z378" s="78"/>
      <c r="AA378" s="81" t="s">
        <v>1674</v>
      </c>
      <c r="AB378" s="79">
        <v>4</v>
      </c>
      <c r="AC378" s="80" t="str">
        <f>REPLACE(INDEX(GroupVertices[Group],MATCH("~"&amp;Edges[[#This Row],[Vertex 1]],GroupVertices[Vertex],0)),1,1,"")</f>
        <v>2</v>
      </c>
      <c r="AD378" s="80" t="str">
        <f>REPLACE(INDEX(GroupVertices[Group],MATCH("~"&amp;Edges[[#This Row],[Vertex 2]],GroupVertices[Vertex],0)),1,1,"")</f>
        <v>2</v>
      </c>
      <c r="AE378" s="105"/>
      <c r="AF378" s="105"/>
      <c r="AG378" s="105"/>
      <c r="AH378" s="105"/>
      <c r="AI378" s="105"/>
      <c r="AJ378" s="105"/>
      <c r="AK378" s="105"/>
      <c r="AL378" s="105"/>
      <c r="AM378" s="105"/>
    </row>
    <row r="379" spans="1:39" ht="15">
      <c r="A379" s="62" t="s">
        <v>261</v>
      </c>
      <c r="B379" s="62" t="s">
        <v>254</v>
      </c>
      <c r="C379" s="63" t="s">
        <v>3603</v>
      </c>
      <c r="D379" s="64">
        <v>5.7894736842105265</v>
      </c>
      <c r="E379" s="65" t="s">
        <v>136</v>
      </c>
      <c r="F379" s="66">
        <v>30.528301886792452</v>
      </c>
      <c r="G379" s="63"/>
      <c r="H379" s="67"/>
      <c r="I379" s="68"/>
      <c r="J379" s="68"/>
      <c r="K379" s="31" t="s">
        <v>65</v>
      </c>
      <c r="L379" s="76">
        <v>379</v>
      </c>
      <c r="M379" s="76"/>
      <c r="N379" s="70"/>
      <c r="O379" s="78" t="s">
        <v>305</v>
      </c>
      <c r="P379" s="78" t="s">
        <v>406</v>
      </c>
      <c r="Q379" s="78" t="s">
        <v>824</v>
      </c>
      <c r="R379" s="78" t="s">
        <v>822</v>
      </c>
      <c r="S379" s="78"/>
      <c r="T379" s="78"/>
      <c r="U379" s="78"/>
      <c r="V379" s="78"/>
      <c r="W379" s="81" t="s">
        <v>1674</v>
      </c>
      <c r="X379" s="81" t="s">
        <v>1674</v>
      </c>
      <c r="Y379" s="78"/>
      <c r="Z379" s="78"/>
      <c r="AA379" s="81" t="s">
        <v>1674</v>
      </c>
      <c r="AB379" s="79">
        <v>4</v>
      </c>
      <c r="AC379" s="80" t="str">
        <f>REPLACE(INDEX(GroupVertices[Group],MATCH("~"&amp;Edges[[#This Row],[Vertex 1]],GroupVertices[Vertex],0)),1,1,"")</f>
        <v>2</v>
      </c>
      <c r="AD379" s="80" t="str">
        <f>REPLACE(INDEX(GroupVertices[Group],MATCH("~"&amp;Edges[[#This Row],[Vertex 2]],GroupVertices[Vertex],0)),1,1,"")</f>
        <v>2</v>
      </c>
      <c r="AE379" s="105"/>
      <c r="AF379" s="105"/>
      <c r="AG379" s="105"/>
      <c r="AH379" s="105"/>
      <c r="AI379" s="105"/>
      <c r="AJ379" s="105"/>
      <c r="AK379" s="105"/>
      <c r="AL379" s="105"/>
      <c r="AM379" s="105"/>
    </row>
    <row r="380" spans="1:39" ht="15">
      <c r="A380" s="62" t="s">
        <v>260</v>
      </c>
      <c r="B380" s="62" t="s">
        <v>261</v>
      </c>
      <c r="C380" s="63" t="s">
        <v>3607</v>
      </c>
      <c r="D380" s="64">
        <v>7.368421052631579</v>
      </c>
      <c r="E380" s="65" t="s">
        <v>136</v>
      </c>
      <c r="F380" s="66">
        <v>27.58490566037736</v>
      </c>
      <c r="G380" s="63"/>
      <c r="H380" s="67"/>
      <c r="I380" s="68"/>
      <c r="J380" s="68"/>
      <c r="K380" s="31" t="s">
        <v>65</v>
      </c>
      <c r="L380" s="76">
        <v>380</v>
      </c>
      <c r="M380" s="76"/>
      <c r="N380" s="70"/>
      <c r="O380" s="78" t="s">
        <v>305</v>
      </c>
      <c r="P380" s="78" t="s">
        <v>368</v>
      </c>
      <c r="Q380" s="78" t="s">
        <v>759</v>
      </c>
      <c r="R380" s="78" t="s">
        <v>754</v>
      </c>
      <c r="S380" s="78"/>
      <c r="T380" s="78"/>
      <c r="U380" s="78"/>
      <c r="V380" s="78"/>
      <c r="W380" s="81" t="s">
        <v>1674</v>
      </c>
      <c r="X380" s="81" t="s">
        <v>1674</v>
      </c>
      <c r="Y380" s="78"/>
      <c r="Z380" s="78"/>
      <c r="AA380" s="81" t="s">
        <v>1674</v>
      </c>
      <c r="AB380" s="79">
        <v>10</v>
      </c>
      <c r="AC380" s="80" t="str">
        <f>REPLACE(INDEX(GroupVertices[Group],MATCH("~"&amp;Edges[[#This Row],[Vertex 1]],GroupVertices[Vertex],0)),1,1,"")</f>
        <v>1</v>
      </c>
      <c r="AD380" s="80" t="str">
        <f>REPLACE(INDEX(GroupVertices[Group],MATCH("~"&amp;Edges[[#This Row],[Vertex 2]],GroupVertices[Vertex],0)),1,1,"")</f>
        <v>2</v>
      </c>
      <c r="AE380" s="105"/>
      <c r="AF380" s="105"/>
      <c r="AG380" s="105"/>
      <c r="AH380" s="105"/>
      <c r="AI380" s="105"/>
      <c r="AJ380" s="105"/>
      <c r="AK380" s="105"/>
      <c r="AL380" s="105"/>
      <c r="AM380" s="105"/>
    </row>
    <row r="381" spans="1:39" ht="15">
      <c r="A381" s="62" t="s">
        <v>260</v>
      </c>
      <c r="B381" s="62" t="s">
        <v>261</v>
      </c>
      <c r="C381" s="63" t="s">
        <v>3607</v>
      </c>
      <c r="D381" s="64">
        <v>7.368421052631579</v>
      </c>
      <c r="E381" s="65" t="s">
        <v>136</v>
      </c>
      <c r="F381" s="66">
        <v>27.58490566037736</v>
      </c>
      <c r="G381" s="63"/>
      <c r="H381" s="67"/>
      <c r="I381" s="68"/>
      <c r="J381" s="68"/>
      <c r="K381" s="31" t="s">
        <v>65</v>
      </c>
      <c r="L381" s="76">
        <v>381</v>
      </c>
      <c r="M381" s="76"/>
      <c r="N381" s="70"/>
      <c r="O381" s="78" t="s">
        <v>305</v>
      </c>
      <c r="P381" s="78" t="s">
        <v>368</v>
      </c>
      <c r="Q381" s="78" t="s">
        <v>759</v>
      </c>
      <c r="R381" s="78" t="s">
        <v>755</v>
      </c>
      <c r="S381" s="78"/>
      <c r="T381" s="78"/>
      <c r="U381" s="78"/>
      <c r="V381" s="78"/>
      <c r="W381" s="81" t="s">
        <v>1674</v>
      </c>
      <c r="X381" s="81" t="s">
        <v>1674</v>
      </c>
      <c r="Y381" s="78"/>
      <c r="Z381" s="78"/>
      <c r="AA381" s="81" t="s">
        <v>1674</v>
      </c>
      <c r="AB381" s="79">
        <v>10</v>
      </c>
      <c r="AC381" s="80" t="str">
        <f>REPLACE(INDEX(GroupVertices[Group],MATCH("~"&amp;Edges[[#This Row],[Vertex 1]],GroupVertices[Vertex],0)),1,1,"")</f>
        <v>1</v>
      </c>
      <c r="AD381" s="80" t="str">
        <f>REPLACE(INDEX(GroupVertices[Group],MATCH("~"&amp;Edges[[#This Row],[Vertex 2]],GroupVertices[Vertex],0)),1,1,"")</f>
        <v>2</v>
      </c>
      <c r="AE381" s="105"/>
      <c r="AF381" s="105"/>
      <c r="AG381" s="105"/>
      <c r="AH381" s="105"/>
      <c r="AI381" s="105"/>
      <c r="AJ381" s="105"/>
      <c r="AK381" s="105"/>
      <c r="AL381" s="105"/>
      <c r="AM381" s="105"/>
    </row>
    <row r="382" spans="1:39" ht="15">
      <c r="A382" s="62" t="s">
        <v>260</v>
      </c>
      <c r="B382" s="62" t="s">
        <v>261</v>
      </c>
      <c r="C382" s="63" t="s">
        <v>3607</v>
      </c>
      <c r="D382" s="64">
        <v>7.368421052631579</v>
      </c>
      <c r="E382" s="65" t="s">
        <v>136</v>
      </c>
      <c r="F382" s="66">
        <v>27.58490566037736</v>
      </c>
      <c r="G382" s="63"/>
      <c r="H382" s="67"/>
      <c r="I382" s="68"/>
      <c r="J382" s="68"/>
      <c r="K382" s="31" t="s">
        <v>65</v>
      </c>
      <c r="L382" s="76">
        <v>382</v>
      </c>
      <c r="M382" s="76"/>
      <c r="N382" s="70"/>
      <c r="O382" s="78" t="s">
        <v>305</v>
      </c>
      <c r="P382" s="78" t="s">
        <v>368</v>
      </c>
      <c r="Q382" s="78" t="s">
        <v>759</v>
      </c>
      <c r="R382" s="78" t="s">
        <v>756</v>
      </c>
      <c r="S382" s="78"/>
      <c r="T382" s="78"/>
      <c r="U382" s="78"/>
      <c r="V382" s="78"/>
      <c r="W382" s="81" t="s">
        <v>1674</v>
      </c>
      <c r="X382" s="81" t="s">
        <v>1674</v>
      </c>
      <c r="Y382" s="78"/>
      <c r="Z382" s="78"/>
      <c r="AA382" s="81" t="s">
        <v>1674</v>
      </c>
      <c r="AB382" s="79">
        <v>10</v>
      </c>
      <c r="AC382" s="80" t="str">
        <f>REPLACE(INDEX(GroupVertices[Group],MATCH("~"&amp;Edges[[#This Row],[Vertex 1]],GroupVertices[Vertex],0)),1,1,"")</f>
        <v>1</v>
      </c>
      <c r="AD382" s="80" t="str">
        <f>REPLACE(INDEX(GroupVertices[Group],MATCH("~"&amp;Edges[[#This Row],[Vertex 2]],GroupVertices[Vertex],0)),1,1,"")</f>
        <v>2</v>
      </c>
      <c r="AE382" s="105"/>
      <c r="AF382" s="105"/>
      <c r="AG382" s="105"/>
      <c r="AH382" s="105"/>
      <c r="AI382" s="105"/>
      <c r="AJ382" s="105"/>
      <c r="AK382" s="105"/>
      <c r="AL382" s="105"/>
      <c r="AM382" s="105"/>
    </row>
    <row r="383" spans="1:39" ht="15">
      <c r="A383" s="62" t="s">
        <v>260</v>
      </c>
      <c r="B383" s="62" t="s">
        <v>261</v>
      </c>
      <c r="C383" s="63" t="s">
        <v>3607</v>
      </c>
      <c r="D383" s="64">
        <v>7.368421052631579</v>
      </c>
      <c r="E383" s="65" t="s">
        <v>136</v>
      </c>
      <c r="F383" s="66">
        <v>27.58490566037736</v>
      </c>
      <c r="G383" s="63"/>
      <c r="H383" s="67"/>
      <c r="I383" s="68"/>
      <c r="J383" s="68"/>
      <c r="K383" s="31" t="s">
        <v>65</v>
      </c>
      <c r="L383" s="76">
        <v>383</v>
      </c>
      <c r="M383" s="76"/>
      <c r="N383" s="70"/>
      <c r="O383" s="78" t="s">
        <v>305</v>
      </c>
      <c r="P383" s="78" t="s">
        <v>368</v>
      </c>
      <c r="Q383" s="78" t="s">
        <v>760</v>
      </c>
      <c r="R383" s="78" t="s">
        <v>754</v>
      </c>
      <c r="S383" s="78"/>
      <c r="T383" s="78"/>
      <c r="U383" s="78"/>
      <c r="V383" s="78"/>
      <c r="W383" s="81" t="s">
        <v>1674</v>
      </c>
      <c r="X383" s="81" t="s">
        <v>1674</v>
      </c>
      <c r="Y383" s="78"/>
      <c r="Z383" s="78"/>
      <c r="AA383" s="81" t="s">
        <v>1674</v>
      </c>
      <c r="AB383" s="79">
        <v>10</v>
      </c>
      <c r="AC383" s="80" t="str">
        <f>REPLACE(INDEX(GroupVertices[Group],MATCH("~"&amp;Edges[[#This Row],[Vertex 1]],GroupVertices[Vertex],0)),1,1,"")</f>
        <v>1</v>
      </c>
      <c r="AD383" s="80" t="str">
        <f>REPLACE(INDEX(GroupVertices[Group],MATCH("~"&amp;Edges[[#This Row],[Vertex 2]],GroupVertices[Vertex],0)),1,1,"")</f>
        <v>2</v>
      </c>
      <c r="AE383" s="105"/>
      <c r="AF383" s="105"/>
      <c r="AG383" s="105"/>
      <c r="AH383" s="105"/>
      <c r="AI383" s="105"/>
      <c r="AJ383" s="105"/>
      <c r="AK383" s="105"/>
      <c r="AL383" s="105"/>
      <c r="AM383" s="105"/>
    </row>
    <row r="384" spans="1:39" ht="15">
      <c r="A384" s="62" t="s">
        <v>260</v>
      </c>
      <c r="B384" s="62" t="s">
        <v>261</v>
      </c>
      <c r="C384" s="63" t="s">
        <v>3607</v>
      </c>
      <c r="D384" s="64">
        <v>7.368421052631579</v>
      </c>
      <c r="E384" s="65" t="s">
        <v>136</v>
      </c>
      <c r="F384" s="66">
        <v>27.58490566037736</v>
      </c>
      <c r="G384" s="63"/>
      <c r="H384" s="67"/>
      <c r="I384" s="68"/>
      <c r="J384" s="68"/>
      <c r="K384" s="31" t="s">
        <v>65</v>
      </c>
      <c r="L384" s="76">
        <v>384</v>
      </c>
      <c r="M384" s="76"/>
      <c r="N384" s="70"/>
      <c r="O384" s="78" t="s">
        <v>305</v>
      </c>
      <c r="P384" s="78" t="s">
        <v>368</v>
      </c>
      <c r="Q384" s="78" t="s">
        <v>760</v>
      </c>
      <c r="R384" s="78" t="s">
        <v>755</v>
      </c>
      <c r="S384" s="78"/>
      <c r="T384" s="78"/>
      <c r="U384" s="78"/>
      <c r="V384" s="78"/>
      <c r="W384" s="81" t="s">
        <v>1674</v>
      </c>
      <c r="X384" s="81" t="s">
        <v>1674</v>
      </c>
      <c r="Y384" s="78"/>
      <c r="Z384" s="78"/>
      <c r="AA384" s="81" t="s">
        <v>1674</v>
      </c>
      <c r="AB384" s="79">
        <v>10</v>
      </c>
      <c r="AC384" s="80" t="str">
        <f>REPLACE(INDEX(GroupVertices[Group],MATCH("~"&amp;Edges[[#This Row],[Vertex 1]],GroupVertices[Vertex],0)),1,1,"")</f>
        <v>1</v>
      </c>
      <c r="AD384" s="80" t="str">
        <f>REPLACE(INDEX(GroupVertices[Group],MATCH("~"&amp;Edges[[#This Row],[Vertex 2]],GroupVertices[Vertex],0)),1,1,"")</f>
        <v>2</v>
      </c>
      <c r="AE384" s="105"/>
      <c r="AF384" s="105"/>
      <c r="AG384" s="105"/>
      <c r="AH384" s="105"/>
      <c r="AI384" s="105"/>
      <c r="AJ384" s="105"/>
      <c r="AK384" s="105"/>
      <c r="AL384" s="105"/>
      <c r="AM384" s="105"/>
    </row>
    <row r="385" spans="1:39" ht="15">
      <c r="A385" s="62" t="s">
        <v>260</v>
      </c>
      <c r="B385" s="62" t="s">
        <v>261</v>
      </c>
      <c r="C385" s="63" t="s">
        <v>3607</v>
      </c>
      <c r="D385" s="64">
        <v>7.368421052631579</v>
      </c>
      <c r="E385" s="65" t="s">
        <v>136</v>
      </c>
      <c r="F385" s="66">
        <v>27.58490566037736</v>
      </c>
      <c r="G385" s="63"/>
      <c r="H385" s="67"/>
      <c r="I385" s="68"/>
      <c r="J385" s="68"/>
      <c r="K385" s="31" t="s">
        <v>65</v>
      </c>
      <c r="L385" s="76">
        <v>385</v>
      </c>
      <c r="M385" s="76"/>
      <c r="N385" s="70"/>
      <c r="O385" s="78" t="s">
        <v>305</v>
      </c>
      <c r="P385" s="78" t="s">
        <v>368</v>
      </c>
      <c r="Q385" s="78" t="s">
        <v>760</v>
      </c>
      <c r="R385" s="78" t="s">
        <v>756</v>
      </c>
      <c r="S385" s="78"/>
      <c r="T385" s="78"/>
      <c r="U385" s="78"/>
      <c r="V385" s="78"/>
      <c r="W385" s="81" t="s">
        <v>1674</v>
      </c>
      <c r="X385" s="81" t="s">
        <v>1674</v>
      </c>
      <c r="Y385" s="78"/>
      <c r="Z385" s="78"/>
      <c r="AA385" s="81" t="s">
        <v>1674</v>
      </c>
      <c r="AB385" s="79">
        <v>10</v>
      </c>
      <c r="AC385" s="80" t="str">
        <f>REPLACE(INDEX(GroupVertices[Group],MATCH("~"&amp;Edges[[#This Row],[Vertex 1]],GroupVertices[Vertex],0)),1,1,"")</f>
        <v>1</v>
      </c>
      <c r="AD385" s="80" t="str">
        <f>REPLACE(INDEX(GroupVertices[Group],MATCH("~"&amp;Edges[[#This Row],[Vertex 2]],GroupVertices[Vertex],0)),1,1,"")</f>
        <v>2</v>
      </c>
      <c r="AE385" s="105"/>
      <c r="AF385" s="105"/>
      <c r="AG385" s="105"/>
      <c r="AH385" s="105"/>
      <c r="AI385" s="105"/>
      <c r="AJ385" s="105"/>
      <c r="AK385" s="105"/>
      <c r="AL385" s="105"/>
      <c r="AM385" s="105"/>
    </row>
    <row r="386" spans="1:39" ht="15">
      <c r="A386" s="62" t="s">
        <v>260</v>
      </c>
      <c r="B386" s="62" t="s">
        <v>261</v>
      </c>
      <c r="C386" s="63" t="s">
        <v>3607</v>
      </c>
      <c r="D386" s="64">
        <v>7.368421052631579</v>
      </c>
      <c r="E386" s="65" t="s">
        <v>136</v>
      </c>
      <c r="F386" s="66">
        <v>27.58490566037736</v>
      </c>
      <c r="G386" s="63"/>
      <c r="H386" s="67"/>
      <c r="I386" s="68"/>
      <c r="J386" s="68"/>
      <c r="K386" s="31" t="s">
        <v>65</v>
      </c>
      <c r="L386" s="76">
        <v>386</v>
      </c>
      <c r="M386" s="76"/>
      <c r="N386" s="70"/>
      <c r="O386" s="78" t="s">
        <v>305</v>
      </c>
      <c r="P386" s="78" t="s">
        <v>429</v>
      </c>
      <c r="Q386" s="78" t="s">
        <v>860</v>
      </c>
      <c r="R386" s="78" t="s">
        <v>1398</v>
      </c>
      <c r="S386" s="78"/>
      <c r="T386" s="78"/>
      <c r="U386" s="78"/>
      <c r="V386" s="78"/>
      <c r="W386" s="81" t="s">
        <v>1674</v>
      </c>
      <c r="X386" s="81" t="s">
        <v>1674</v>
      </c>
      <c r="Y386" s="78"/>
      <c r="Z386" s="78"/>
      <c r="AA386" s="81" t="s">
        <v>1674</v>
      </c>
      <c r="AB386" s="79">
        <v>10</v>
      </c>
      <c r="AC386" s="80" t="str">
        <f>REPLACE(INDEX(GroupVertices[Group],MATCH("~"&amp;Edges[[#This Row],[Vertex 1]],GroupVertices[Vertex],0)),1,1,"")</f>
        <v>1</v>
      </c>
      <c r="AD386" s="80" t="str">
        <f>REPLACE(INDEX(GroupVertices[Group],MATCH("~"&amp;Edges[[#This Row],[Vertex 2]],GroupVertices[Vertex],0)),1,1,"")</f>
        <v>2</v>
      </c>
      <c r="AE386" s="105"/>
      <c r="AF386" s="105"/>
      <c r="AG386" s="105"/>
      <c r="AH386" s="105"/>
      <c r="AI386" s="105"/>
      <c r="AJ386" s="105"/>
      <c r="AK386" s="105"/>
      <c r="AL386" s="105"/>
      <c r="AM386" s="105"/>
    </row>
    <row r="387" spans="1:39" ht="15">
      <c r="A387" s="62" t="s">
        <v>260</v>
      </c>
      <c r="B387" s="62" t="s">
        <v>261</v>
      </c>
      <c r="C387" s="63" t="s">
        <v>3607</v>
      </c>
      <c r="D387" s="64">
        <v>7.368421052631579</v>
      </c>
      <c r="E387" s="65" t="s">
        <v>136</v>
      </c>
      <c r="F387" s="66">
        <v>27.58490566037736</v>
      </c>
      <c r="G387" s="63"/>
      <c r="H387" s="67"/>
      <c r="I387" s="68"/>
      <c r="J387" s="68"/>
      <c r="K387" s="31" t="s">
        <v>65</v>
      </c>
      <c r="L387" s="76">
        <v>387</v>
      </c>
      <c r="M387" s="76"/>
      <c r="N387" s="70"/>
      <c r="O387" s="78" t="s">
        <v>305</v>
      </c>
      <c r="P387" s="78" t="s">
        <v>429</v>
      </c>
      <c r="Q387" s="78" t="s">
        <v>860</v>
      </c>
      <c r="R387" s="78" t="s">
        <v>1399</v>
      </c>
      <c r="S387" s="78"/>
      <c r="T387" s="78"/>
      <c r="U387" s="78"/>
      <c r="V387" s="78"/>
      <c r="W387" s="81" t="s">
        <v>1674</v>
      </c>
      <c r="X387" s="81" t="s">
        <v>1674</v>
      </c>
      <c r="Y387" s="78"/>
      <c r="Z387" s="78"/>
      <c r="AA387" s="81" t="s">
        <v>1674</v>
      </c>
      <c r="AB387" s="79">
        <v>10</v>
      </c>
      <c r="AC387" s="80" t="str">
        <f>REPLACE(INDEX(GroupVertices[Group],MATCH("~"&amp;Edges[[#This Row],[Vertex 1]],GroupVertices[Vertex],0)),1,1,"")</f>
        <v>1</v>
      </c>
      <c r="AD387" s="80" t="str">
        <f>REPLACE(INDEX(GroupVertices[Group],MATCH("~"&amp;Edges[[#This Row],[Vertex 2]],GroupVertices[Vertex],0)),1,1,"")</f>
        <v>2</v>
      </c>
      <c r="AE387" s="105"/>
      <c r="AF387" s="105"/>
      <c r="AG387" s="105"/>
      <c r="AH387" s="105"/>
      <c r="AI387" s="105"/>
      <c r="AJ387" s="105"/>
      <c r="AK387" s="105"/>
      <c r="AL387" s="105"/>
      <c r="AM387" s="105"/>
    </row>
    <row r="388" spans="1:39" ht="15">
      <c r="A388" s="62" t="s">
        <v>260</v>
      </c>
      <c r="B388" s="62" t="s">
        <v>261</v>
      </c>
      <c r="C388" s="63" t="s">
        <v>3607</v>
      </c>
      <c r="D388" s="64">
        <v>7.368421052631579</v>
      </c>
      <c r="E388" s="65" t="s">
        <v>136</v>
      </c>
      <c r="F388" s="66">
        <v>27.58490566037736</v>
      </c>
      <c r="G388" s="63"/>
      <c r="H388" s="67"/>
      <c r="I388" s="68"/>
      <c r="J388" s="68"/>
      <c r="K388" s="31" t="s">
        <v>65</v>
      </c>
      <c r="L388" s="76">
        <v>388</v>
      </c>
      <c r="M388" s="76"/>
      <c r="N388" s="70"/>
      <c r="O388" s="78" t="s">
        <v>305</v>
      </c>
      <c r="P388" s="78" t="s">
        <v>406</v>
      </c>
      <c r="Q388" s="78" t="s">
        <v>825</v>
      </c>
      <c r="R388" s="78" t="s">
        <v>823</v>
      </c>
      <c r="S388" s="78"/>
      <c r="T388" s="78"/>
      <c r="U388" s="78"/>
      <c r="V388" s="78"/>
      <c r="W388" s="81" t="s">
        <v>1674</v>
      </c>
      <c r="X388" s="81" t="s">
        <v>1674</v>
      </c>
      <c r="Y388" s="78"/>
      <c r="Z388" s="78"/>
      <c r="AA388" s="81" t="s">
        <v>1674</v>
      </c>
      <c r="AB388" s="79">
        <v>10</v>
      </c>
      <c r="AC388" s="80" t="str">
        <f>REPLACE(INDEX(GroupVertices[Group],MATCH("~"&amp;Edges[[#This Row],[Vertex 1]],GroupVertices[Vertex],0)),1,1,"")</f>
        <v>1</v>
      </c>
      <c r="AD388" s="80" t="str">
        <f>REPLACE(INDEX(GroupVertices[Group],MATCH("~"&amp;Edges[[#This Row],[Vertex 2]],GroupVertices[Vertex],0)),1,1,"")</f>
        <v>2</v>
      </c>
      <c r="AE388" s="105"/>
      <c r="AF388" s="105"/>
      <c r="AG388" s="105"/>
      <c r="AH388" s="105"/>
      <c r="AI388" s="105"/>
      <c r="AJ388" s="105"/>
      <c r="AK388" s="105"/>
      <c r="AL388" s="105"/>
      <c r="AM388" s="105"/>
    </row>
    <row r="389" spans="1:39" ht="15">
      <c r="A389" s="62" t="s">
        <v>260</v>
      </c>
      <c r="B389" s="62" t="s">
        <v>261</v>
      </c>
      <c r="C389" s="63" t="s">
        <v>3607</v>
      </c>
      <c r="D389" s="64">
        <v>7.368421052631579</v>
      </c>
      <c r="E389" s="65" t="s">
        <v>136</v>
      </c>
      <c r="F389" s="66">
        <v>27.58490566037736</v>
      </c>
      <c r="G389" s="63"/>
      <c r="H389" s="67"/>
      <c r="I389" s="68"/>
      <c r="J389" s="68"/>
      <c r="K389" s="31" t="s">
        <v>65</v>
      </c>
      <c r="L389" s="76">
        <v>389</v>
      </c>
      <c r="M389" s="76"/>
      <c r="N389" s="70"/>
      <c r="O389" s="78" t="s">
        <v>305</v>
      </c>
      <c r="P389" s="78" t="s">
        <v>406</v>
      </c>
      <c r="Q389" s="78" t="s">
        <v>825</v>
      </c>
      <c r="R389" s="78" t="s">
        <v>824</v>
      </c>
      <c r="S389" s="78"/>
      <c r="T389" s="78"/>
      <c r="U389" s="78"/>
      <c r="V389" s="78"/>
      <c r="W389" s="81" t="s">
        <v>1674</v>
      </c>
      <c r="X389" s="81" t="s">
        <v>1674</v>
      </c>
      <c r="Y389" s="78"/>
      <c r="Z389" s="78"/>
      <c r="AA389" s="81" t="s">
        <v>1674</v>
      </c>
      <c r="AB389" s="79">
        <v>10</v>
      </c>
      <c r="AC389" s="80" t="str">
        <f>REPLACE(INDEX(GroupVertices[Group],MATCH("~"&amp;Edges[[#This Row],[Vertex 1]],GroupVertices[Vertex],0)),1,1,"")</f>
        <v>1</v>
      </c>
      <c r="AD389" s="80" t="str">
        <f>REPLACE(INDEX(GroupVertices[Group],MATCH("~"&amp;Edges[[#This Row],[Vertex 2]],GroupVertices[Vertex],0)),1,1,"")</f>
        <v>2</v>
      </c>
      <c r="AE389" s="105"/>
      <c r="AF389" s="105"/>
      <c r="AG389" s="105"/>
      <c r="AH389" s="105"/>
      <c r="AI389" s="105"/>
      <c r="AJ389" s="105"/>
      <c r="AK389" s="105"/>
      <c r="AL389" s="105"/>
      <c r="AM389" s="105"/>
    </row>
    <row r="390" spans="1:39" ht="15">
      <c r="A390" s="62" t="s">
        <v>267</v>
      </c>
      <c r="B390" s="62" t="s">
        <v>261</v>
      </c>
      <c r="C390" s="63" t="s">
        <v>3598</v>
      </c>
      <c r="D390" s="64">
        <v>5.2631578947368425</v>
      </c>
      <c r="E390" s="65" t="s">
        <v>136</v>
      </c>
      <c r="F390" s="66">
        <v>31.50943396226415</v>
      </c>
      <c r="G390" s="63"/>
      <c r="H390" s="67"/>
      <c r="I390" s="68"/>
      <c r="J390" s="68"/>
      <c r="K390" s="31" t="s">
        <v>65</v>
      </c>
      <c r="L390" s="76">
        <v>390</v>
      </c>
      <c r="M390" s="76"/>
      <c r="N390" s="70"/>
      <c r="O390" s="78" t="s">
        <v>305</v>
      </c>
      <c r="P390" s="78" t="s">
        <v>429</v>
      </c>
      <c r="Q390" s="78" t="s">
        <v>861</v>
      </c>
      <c r="R390" s="78" t="s">
        <v>1398</v>
      </c>
      <c r="S390" s="78"/>
      <c r="T390" s="78"/>
      <c r="U390" s="78"/>
      <c r="V390" s="78"/>
      <c r="W390" s="81" t="s">
        <v>1674</v>
      </c>
      <c r="X390" s="81" t="s">
        <v>1674</v>
      </c>
      <c r="Y390" s="78"/>
      <c r="Z390" s="78"/>
      <c r="AA390" s="81" t="s">
        <v>1674</v>
      </c>
      <c r="AB390" s="79">
        <v>2</v>
      </c>
      <c r="AC390" s="80" t="str">
        <f>REPLACE(INDEX(GroupVertices[Group],MATCH("~"&amp;Edges[[#This Row],[Vertex 1]],GroupVertices[Vertex],0)),1,1,"")</f>
        <v>1</v>
      </c>
      <c r="AD390" s="80" t="str">
        <f>REPLACE(INDEX(GroupVertices[Group],MATCH("~"&amp;Edges[[#This Row],[Vertex 2]],GroupVertices[Vertex],0)),1,1,"")</f>
        <v>2</v>
      </c>
      <c r="AE390" s="105"/>
      <c r="AF390" s="105"/>
      <c r="AG390" s="105"/>
      <c r="AH390" s="105"/>
      <c r="AI390" s="105"/>
      <c r="AJ390" s="105"/>
      <c r="AK390" s="105"/>
      <c r="AL390" s="105"/>
      <c r="AM390" s="105"/>
    </row>
    <row r="391" spans="1:39" ht="15">
      <c r="A391" s="62" t="s">
        <v>267</v>
      </c>
      <c r="B391" s="62" t="s">
        <v>261</v>
      </c>
      <c r="C391" s="63" t="s">
        <v>3598</v>
      </c>
      <c r="D391" s="64">
        <v>5.2631578947368425</v>
      </c>
      <c r="E391" s="65" t="s">
        <v>136</v>
      </c>
      <c r="F391" s="66">
        <v>31.50943396226415</v>
      </c>
      <c r="G391" s="63"/>
      <c r="H391" s="67"/>
      <c r="I391" s="68"/>
      <c r="J391" s="68"/>
      <c r="K391" s="31" t="s">
        <v>65</v>
      </c>
      <c r="L391" s="76">
        <v>391</v>
      </c>
      <c r="M391" s="76"/>
      <c r="N391" s="70"/>
      <c r="O391" s="78" t="s">
        <v>305</v>
      </c>
      <c r="P391" s="78" t="s">
        <v>429</v>
      </c>
      <c r="Q391" s="78" t="s">
        <v>861</v>
      </c>
      <c r="R391" s="78" t="s">
        <v>1399</v>
      </c>
      <c r="S391" s="78"/>
      <c r="T391" s="78"/>
      <c r="U391" s="78"/>
      <c r="V391" s="78"/>
      <c r="W391" s="81" t="s">
        <v>1674</v>
      </c>
      <c r="X391" s="81" t="s">
        <v>1674</v>
      </c>
      <c r="Y391" s="78"/>
      <c r="Z391" s="78"/>
      <c r="AA391" s="81" t="s">
        <v>1674</v>
      </c>
      <c r="AB391" s="79">
        <v>2</v>
      </c>
      <c r="AC391" s="80" t="str">
        <f>REPLACE(INDEX(GroupVertices[Group],MATCH("~"&amp;Edges[[#This Row],[Vertex 1]],GroupVertices[Vertex],0)),1,1,"")</f>
        <v>1</v>
      </c>
      <c r="AD391" s="80" t="str">
        <f>REPLACE(INDEX(GroupVertices[Group],MATCH("~"&amp;Edges[[#This Row],[Vertex 2]],GroupVertices[Vertex],0)),1,1,"")</f>
        <v>2</v>
      </c>
      <c r="AE391" s="105"/>
      <c r="AF391" s="105"/>
      <c r="AG391" s="105"/>
      <c r="AH391" s="105"/>
      <c r="AI391" s="105"/>
      <c r="AJ391" s="105"/>
      <c r="AK391" s="105"/>
      <c r="AL391" s="105"/>
      <c r="AM391" s="105"/>
    </row>
    <row r="392" spans="1:39" ht="15">
      <c r="A392" s="62" t="s">
        <v>271</v>
      </c>
      <c r="B392" s="62" t="s">
        <v>261</v>
      </c>
      <c r="C392" s="63" t="s">
        <v>3599</v>
      </c>
      <c r="D392" s="64">
        <v>6.315789473684211</v>
      </c>
      <c r="E392" s="65" t="s">
        <v>136</v>
      </c>
      <c r="F392" s="66">
        <v>29.547169811320757</v>
      </c>
      <c r="G392" s="63"/>
      <c r="H392" s="67"/>
      <c r="I392" s="68"/>
      <c r="J392" s="68"/>
      <c r="K392" s="31" t="s">
        <v>65</v>
      </c>
      <c r="L392" s="76">
        <v>392</v>
      </c>
      <c r="M392" s="76"/>
      <c r="N392" s="70"/>
      <c r="O392" s="78" t="s">
        <v>305</v>
      </c>
      <c r="P392" s="78" t="s">
        <v>430</v>
      </c>
      <c r="Q392" s="78" t="s">
        <v>862</v>
      </c>
      <c r="R392" s="78" t="s">
        <v>1400</v>
      </c>
      <c r="S392" s="78"/>
      <c r="T392" s="78"/>
      <c r="U392" s="78"/>
      <c r="V392" s="78"/>
      <c r="W392" s="81" t="s">
        <v>1674</v>
      </c>
      <c r="X392" s="81" t="s">
        <v>1674</v>
      </c>
      <c r="Y392" s="78"/>
      <c r="Z392" s="78"/>
      <c r="AA392" s="81" t="s">
        <v>1674</v>
      </c>
      <c r="AB392" s="79">
        <v>6</v>
      </c>
      <c r="AC392" s="80" t="str">
        <f>REPLACE(INDEX(GroupVertices[Group],MATCH("~"&amp;Edges[[#This Row],[Vertex 1]],GroupVertices[Vertex],0)),1,1,"")</f>
        <v>2</v>
      </c>
      <c r="AD392" s="80" t="str">
        <f>REPLACE(INDEX(GroupVertices[Group],MATCH("~"&amp;Edges[[#This Row],[Vertex 2]],GroupVertices[Vertex],0)),1,1,"")</f>
        <v>2</v>
      </c>
      <c r="AE392" s="105"/>
      <c r="AF392" s="105"/>
      <c r="AG392" s="105"/>
      <c r="AH392" s="105"/>
      <c r="AI392" s="105"/>
      <c r="AJ392" s="105"/>
      <c r="AK392" s="105"/>
      <c r="AL392" s="105"/>
      <c r="AM392" s="105"/>
    </row>
    <row r="393" spans="1:39" ht="15">
      <c r="A393" s="62" t="s">
        <v>271</v>
      </c>
      <c r="B393" s="62" t="s">
        <v>261</v>
      </c>
      <c r="C393" s="63" t="s">
        <v>3599</v>
      </c>
      <c r="D393" s="64">
        <v>6.315789473684211</v>
      </c>
      <c r="E393" s="65" t="s">
        <v>136</v>
      </c>
      <c r="F393" s="66">
        <v>29.547169811320757</v>
      </c>
      <c r="G393" s="63"/>
      <c r="H393" s="67"/>
      <c r="I393" s="68"/>
      <c r="J393" s="68"/>
      <c r="K393" s="31" t="s">
        <v>65</v>
      </c>
      <c r="L393" s="76">
        <v>393</v>
      </c>
      <c r="M393" s="76"/>
      <c r="N393" s="70"/>
      <c r="O393" s="78" t="s">
        <v>305</v>
      </c>
      <c r="P393" s="78" t="s">
        <v>431</v>
      </c>
      <c r="Q393" s="78" t="s">
        <v>863</v>
      </c>
      <c r="R393" s="78" t="s">
        <v>1401</v>
      </c>
      <c r="S393" s="78"/>
      <c r="T393" s="78"/>
      <c r="U393" s="78"/>
      <c r="V393" s="78"/>
      <c r="W393" s="81" t="s">
        <v>1674</v>
      </c>
      <c r="X393" s="81" t="s">
        <v>1674</v>
      </c>
      <c r="Y393" s="78"/>
      <c r="Z393" s="78"/>
      <c r="AA393" s="81" t="s">
        <v>1674</v>
      </c>
      <c r="AB393" s="79">
        <v>6</v>
      </c>
      <c r="AC393" s="80" t="str">
        <f>REPLACE(INDEX(GroupVertices[Group],MATCH("~"&amp;Edges[[#This Row],[Vertex 1]],GroupVertices[Vertex],0)),1,1,"")</f>
        <v>2</v>
      </c>
      <c r="AD393" s="80" t="str">
        <f>REPLACE(INDEX(GroupVertices[Group],MATCH("~"&amp;Edges[[#This Row],[Vertex 2]],GroupVertices[Vertex],0)),1,1,"")</f>
        <v>2</v>
      </c>
      <c r="AE393" s="105"/>
      <c r="AF393" s="105"/>
      <c r="AG393" s="105"/>
      <c r="AH393" s="105"/>
      <c r="AI393" s="105"/>
      <c r="AJ393" s="105"/>
      <c r="AK393" s="105"/>
      <c r="AL393" s="105"/>
      <c r="AM393" s="105"/>
    </row>
    <row r="394" spans="1:39" ht="15">
      <c r="A394" s="62" t="s">
        <v>271</v>
      </c>
      <c r="B394" s="62" t="s">
        <v>261</v>
      </c>
      <c r="C394" s="63" t="s">
        <v>3599</v>
      </c>
      <c r="D394" s="64">
        <v>6.315789473684211</v>
      </c>
      <c r="E394" s="65" t="s">
        <v>136</v>
      </c>
      <c r="F394" s="66">
        <v>29.547169811320757</v>
      </c>
      <c r="G394" s="63"/>
      <c r="H394" s="67"/>
      <c r="I394" s="68"/>
      <c r="J394" s="68"/>
      <c r="K394" s="31" t="s">
        <v>65</v>
      </c>
      <c r="L394" s="76">
        <v>394</v>
      </c>
      <c r="M394" s="76"/>
      <c r="N394" s="70"/>
      <c r="O394" s="78" t="s">
        <v>305</v>
      </c>
      <c r="P394" s="78" t="s">
        <v>431</v>
      </c>
      <c r="Q394" s="78" t="s">
        <v>863</v>
      </c>
      <c r="R394" s="78" t="s">
        <v>1402</v>
      </c>
      <c r="S394" s="78"/>
      <c r="T394" s="78"/>
      <c r="U394" s="78"/>
      <c r="V394" s="78"/>
      <c r="W394" s="81" t="s">
        <v>1674</v>
      </c>
      <c r="X394" s="81" t="s">
        <v>1674</v>
      </c>
      <c r="Y394" s="78"/>
      <c r="Z394" s="78"/>
      <c r="AA394" s="81" t="s">
        <v>1674</v>
      </c>
      <c r="AB394" s="79">
        <v>6</v>
      </c>
      <c r="AC394" s="80" t="str">
        <f>REPLACE(INDEX(GroupVertices[Group],MATCH("~"&amp;Edges[[#This Row],[Vertex 1]],GroupVertices[Vertex],0)),1,1,"")</f>
        <v>2</v>
      </c>
      <c r="AD394" s="80" t="str">
        <f>REPLACE(INDEX(GroupVertices[Group],MATCH("~"&amp;Edges[[#This Row],[Vertex 2]],GroupVertices[Vertex],0)),1,1,"")</f>
        <v>2</v>
      </c>
      <c r="AE394" s="105"/>
      <c r="AF394" s="105"/>
      <c r="AG394" s="105"/>
      <c r="AH394" s="105"/>
      <c r="AI394" s="105"/>
      <c r="AJ394" s="105"/>
      <c r="AK394" s="105"/>
      <c r="AL394" s="105"/>
      <c r="AM394" s="105"/>
    </row>
    <row r="395" spans="1:39" ht="15">
      <c r="A395" s="62" t="s">
        <v>271</v>
      </c>
      <c r="B395" s="62" t="s">
        <v>261</v>
      </c>
      <c r="C395" s="63" t="s">
        <v>3599</v>
      </c>
      <c r="D395" s="64">
        <v>6.315789473684211</v>
      </c>
      <c r="E395" s="65" t="s">
        <v>136</v>
      </c>
      <c r="F395" s="66">
        <v>29.547169811320757</v>
      </c>
      <c r="G395" s="63"/>
      <c r="H395" s="67"/>
      <c r="I395" s="68"/>
      <c r="J395" s="68"/>
      <c r="K395" s="31" t="s">
        <v>65</v>
      </c>
      <c r="L395" s="76">
        <v>395</v>
      </c>
      <c r="M395" s="76"/>
      <c r="N395" s="70"/>
      <c r="O395" s="78" t="s">
        <v>305</v>
      </c>
      <c r="P395" s="78" t="s">
        <v>432</v>
      </c>
      <c r="Q395" s="78" t="s">
        <v>864</v>
      </c>
      <c r="R395" s="78" t="s">
        <v>1403</v>
      </c>
      <c r="S395" s="78"/>
      <c r="T395" s="78"/>
      <c r="U395" s="78"/>
      <c r="V395" s="78"/>
      <c r="W395" s="81" t="s">
        <v>1674</v>
      </c>
      <c r="X395" s="81" t="s">
        <v>1674</v>
      </c>
      <c r="Y395" s="78"/>
      <c r="Z395" s="78"/>
      <c r="AA395" s="81" t="s">
        <v>1674</v>
      </c>
      <c r="AB395" s="79">
        <v>6</v>
      </c>
      <c r="AC395" s="80" t="str">
        <f>REPLACE(INDEX(GroupVertices[Group],MATCH("~"&amp;Edges[[#This Row],[Vertex 1]],GroupVertices[Vertex],0)),1,1,"")</f>
        <v>2</v>
      </c>
      <c r="AD395" s="80" t="str">
        <f>REPLACE(INDEX(GroupVertices[Group],MATCH("~"&amp;Edges[[#This Row],[Vertex 2]],GroupVertices[Vertex],0)),1,1,"")</f>
        <v>2</v>
      </c>
      <c r="AE395" s="105"/>
      <c r="AF395" s="105"/>
      <c r="AG395" s="105"/>
      <c r="AH395" s="105"/>
      <c r="AI395" s="105"/>
      <c r="AJ395" s="105"/>
      <c r="AK395" s="105"/>
      <c r="AL395" s="105"/>
      <c r="AM395" s="105"/>
    </row>
    <row r="396" spans="1:39" ht="15">
      <c r="A396" s="62" t="s">
        <v>271</v>
      </c>
      <c r="B396" s="62" t="s">
        <v>261</v>
      </c>
      <c r="C396" s="63" t="s">
        <v>3599</v>
      </c>
      <c r="D396" s="64">
        <v>6.315789473684211</v>
      </c>
      <c r="E396" s="65" t="s">
        <v>136</v>
      </c>
      <c r="F396" s="66">
        <v>29.547169811320757</v>
      </c>
      <c r="G396" s="63"/>
      <c r="H396" s="67"/>
      <c r="I396" s="68"/>
      <c r="J396" s="68"/>
      <c r="K396" s="31" t="s">
        <v>65</v>
      </c>
      <c r="L396" s="76">
        <v>396</v>
      </c>
      <c r="M396" s="76"/>
      <c r="N396" s="70"/>
      <c r="O396" s="78" t="s">
        <v>305</v>
      </c>
      <c r="P396" s="78" t="s">
        <v>432</v>
      </c>
      <c r="Q396" s="78" t="s">
        <v>864</v>
      </c>
      <c r="R396" s="78" t="s">
        <v>1404</v>
      </c>
      <c r="S396" s="78"/>
      <c r="T396" s="78"/>
      <c r="U396" s="78"/>
      <c r="V396" s="78"/>
      <c r="W396" s="81" t="s">
        <v>1674</v>
      </c>
      <c r="X396" s="81" t="s">
        <v>1674</v>
      </c>
      <c r="Y396" s="78"/>
      <c r="Z396" s="78"/>
      <c r="AA396" s="81" t="s">
        <v>1674</v>
      </c>
      <c r="AB396" s="79">
        <v>6</v>
      </c>
      <c r="AC396" s="80" t="str">
        <f>REPLACE(INDEX(GroupVertices[Group],MATCH("~"&amp;Edges[[#This Row],[Vertex 1]],GroupVertices[Vertex],0)),1,1,"")</f>
        <v>2</v>
      </c>
      <c r="AD396" s="80" t="str">
        <f>REPLACE(INDEX(GroupVertices[Group],MATCH("~"&amp;Edges[[#This Row],[Vertex 2]],GroupVertices[Vertex],0)),1,1,"")</f>
        <v>2</v>
      </c>
      <c r="AE396" s="105"/>
      <c r="AF396" s="105"/>
      <c r="AG396" s="105"/>
      <c r="AH396" s="105"/>
      <c r="AI396" s="105"/>
      <c r="AJ396" s="105"/>
      <c r="AK396" s="105"/>
      <c r="AL396" s="105"/>
      <c r="AM396" s="105"/>
    </row>
    <row r="397" spans="1:39" ht="15">
      <c r="A397" s="62" t="s">
        <v>271</v>
      </c>
      <c r="B397" s="62" t="s">
        <v>261</v>
      </c>
      <c r="C397" s="63" t="s">
        <v>3599</v>
      </c>
      <c r="D397" s="64">
        <v>6.315789473684211</v>
      </c>
      <c r="E397" s="65" t="s">
        <v>136</v>
      </c>
      <c r="F397" s="66">
        <v>29.547169811320757</v>
      </c>
      <c r="G397" s="63"/>
      <c r="H397" s="67"/>
      <c r="I397" s="68"/>
      <c r="J397" s="68"/>
      <c r="K397" s="31" t="s">
        <v>65</v>
      </c>
      <c r="L397" s="76">
        <v>397</v>
      </c>
      <c r="M397" s="76"/>
      <c r="N397" s="70"/>
      <c r="O397" s="78" t="s">
        <v>305</v>
      </c>
      <c r="P397" s="78" t="s">
        <v>433</v>
      </c>
      <c r="Q397" s="78" t="s">
        <v>865</v>
      </c>
      <c r="R397" s="78" t="s">
        <v>1405</v>
      </c>
      <c r="S397" s="78"/>
      <c r="T397" s="78"/>
      <c r="U397" s="78"/>
      <c r="V397" s="78"/>
      <c r="W397" s="81" t="s">
        <v>1674</v>
      </c>
      <c r="X397" s="81" t="s">
        <v>1674</v>
      </c>
      <c r="Y397" s="78"/>
      <c r="Z397" s="78"/>
      <c r="AA397" s="81" t="s">
        <v>1674</v>
      </c>
      <c r="AB397" s="79">
        <v>6</v>
      </c>
      <c r="AC397" s="80" t="str">
        <f>REPLACE(INDEX(GroupVertices[Group],MATCH("~"&amp;Edges[[#This Row],[Vertex 1]],GroupVertices[Vertex],0)),1,1,"")</f>
        <v>2</v>
      </c>
      <c r="AD397" s="80" t="str">
        <f>REPLACE(INDEX(GroupVertices[Group],MATCH("~"&amp;Edges[[#This Row],[Vertex 2]],GroupVertices[Vertex],0)),1,1,"")</f>
        <v>2</v>
      </c>
      <c r="AE397" s="105"/>
      <c r="AF397" s="105"/>
      <c r="AG397" s="105"/>
      <c r="AH397" s="105"/>
      <c r="AI397" s="105"/>
      <c r="AJ397" s="105"/>
      <c r="AK397" s="105"/>
      <c r="AL397" s="105"/>
      <c r="AM397" s="105"/>
    </row>
    <row r="398" spans="1:39" ht="15">
      <c r="A398" s="62" t="s">
        <v>272</v>
      </c>
      <c r="B398" s="62" t="s">
        <v>294</v>
      </c>
      <c r="C398" s="63" t="s">
        <v>3598</v>
      </c>
      <c r="D398" s="64">
        <v>5.2631578947368425</v>
      </c>
      <c r="E398" s="65" t="s">
        <v>136</v>
      </c>
      <c r="F398" s="66">
        <v>31.50943396226415</v>
      </c>
      <c r="G398" s="63"/>
      <c r="H398" s="67"/>
      <c r="I398" s="68"/>
      <c r="J398" s="68"/>
      <c r="K398" s="31" t="s">
        <v>65</v>
      </c>
      <c r="L398" s="76">
        <v>398</v>
      </c>
      <c r="M398" s="76"/>
      <c r="N398" s="70"/>
      <c r="O398" s="78" t="s">
        <v>305</v>
      </c>
      <c r="P398" s="78" t="s">
        <v>434</v>
      </c>
      <c r="Q398" s="78" t="s">
        <v>866</v>
      </c>
      <c r="R398" s="78" t="s">
        <v>1406</v>
      </c>
      <c r="S398" s="78"/>
      <c r="T398" s="78"/>
      <c r="U398" s="78"/>
      <c r="V398" s="78"/>
      <c r="W398" s="81" t="s">
        <v>1674</v>
      </c>
      <c r="X398" s="81" t="s">
        <v>1674</v>
      </c>
      <c r="Y398" s="78"/>
      <c r="Z398" s="78"/>
      <c r="AA398" s="81" t="s">
        <v>1674</v>
      </c>
      <c r="AB398" s="79">
        <v>2</v>
      </c>
      <c r="AC398" s="80" t="str">
        <f>REPLACE(INDEX(GroupVertices[Group],MATCH("~"&amp;Edges[[#This Row],[Vertex 1]],GroupVertices[Vertex],0)),1,1,"")</f>
        <v>2</v>
      </c>
      <c r="AD398" s="80" t="str">
        <f>REPLACE(INDEX(GroupVertices[Group],MATCH("~"&amp;Edges[[#This Row],[Vertex 2]],GroupVertices[Vertex],0)),1,1,"")</f>
        <v>2</v>
      </c>
      <c r="AE398" s="105"/>
      <c r="AF398" s="105"/>
      <c r="AG398" s="105"/>
      <c r="AH398" s="105"/>
      <c r="AI398" s="105"/>
      <c r="AJ398" s="105"/>
      <c r="AK398" s="105"/>
      <c r="AL398" s="105"/>
      <c r="AM398" s="105"/>
    </row>
    <row r="399" spans="1:39" ht="15">
      <c r="A399" s="62" t="s">
        <v>272</v>
      </c>
      <c r="B399" s="62" t="s">
        <v>294</v>
      </c>
      <c r="C399" s="63" t="s">
        <v>3598</v>
      </c>
      <c r="D399" s="64">
        <v>5.2631578947368425</v>
      </c>
      <c r="E399" s="65" t="s">
        <v>136</v>
      </c>
      <c r="F399" s="66">
        <v>31.50943396226415</v>
      </c>
      <c r="G399" s="63"/>
      <c r="H399" s="67"/>
      <c r="I399" s="68"/>
      <c r="J399" s="68"/>
      <c r="K399" s="31" t="s">
        <v>65</v>
      </c>
      <c r="L399" s="76">
        <v>399</v>
      </c>
      <c r="M399" s="76"/>
      <c r="N399" s="70"/>
      <c r="O399" s="78" t="s">
        <v>305</v>
      </c>
      <c r="P399" s="78" t="s">
        <v>434</v>
      </c>
      <c r="Q399" s="78" t="s">
        <v>867</v>
      </c>
      <c r="R399" s="78" t="s">
        <v>1406</v>
      </c>
      <c r="S399" s="78"/>
      <c r="T399" s="78"/>
      <c r="U399" s="78"/>
      <c r="V399" s="78"/>
      <c r="W399" s="81" t="s">
        <v>1674</v>
      </c>
      <c r="X399" s="81" t="s">
        <v>1674</v>
      </c>
      <c r="Y399" s="78"/>
      <c r="Z399" s="78"/>
      <c r="AA399" s="81" t="s">
        <v>1674</v>
      </c>
      <c r="AB399" s="79">
        <v>2</v>
      </c>
      <c r="AC399" s="80" t="str">
        <f>REPLACE(INDEX(GroupVertices[Group],MATCH("~"&amp;Edges[[#This Row],[Vertex 1]],GroupVertices[Vertex],0)),1,1,"")</f>
        <v>2</v>
      </c>
      <c r="AD399" s="80" t="str">
        <f>REPLACE(INDEX(GroupVertices[Group],MATCH("~"&amp;Edges[[#This Row],[Vertex 2]],GroupVertices[Vertex],0)),1,1,"")</f>
        <v>2</v>
      </c>
      <c r="AE399" s="105"/>
      <c r="AF399" s="105"/>
      <c r="AG399" s="105"/>
      <c r="AH399" s="105"/>
      <c r="AI399" s="105"/>
      <c r="AJ399" s="105"/>
      <c r="AK399" s="105"/>
      <c r="AL399" s="105"/>
      <c r="AM399" s="105"/>
    </row>
    <row r="400" spans="1:39" ht="15">
      <c r="A400" s="62" t="s">
        <v>249</v>
      </c>
      <c r="B400" s="62" t="s">
        <v>272</v>
      </c>
      <c r="C400" s="63" t="s">
        <v>3606</v>
      </c>
      <c r="D400" s="64">
        <v>9.473684210526315</v>
      </c>
      <c r="E400" s="65" t="s">
        <v>136</v>
      </c>
      <c r="F400" s="66">
        <v>23.660377358490564</v>
      </c>
      <c r="G400" s="63"/>
      <c r="H400" s="67"/>
      <c r="I400" s="68"/>
      <c r="J400" s="68"/>
      <c r="K400" s="31" t="s">
        <v>65</v>
      </c>
      <c r="L400" s="76">
        <v>400</v>
      </c>
      <c r="M400" s="76"/>
      <c r="N400" s="70"/>
      <c r="O400" s="78" t="s">
        <v>305</v>
      </c>
      <c r="P400" s="78" t="s">
        <v>434</v>
      </c>
      <c r="Q400" s="78" t="s">
        <v>868</v>
      </c>
      <c r="R400" s="78" t="s">
        <v>866</v>
      </c>
      <c r="S400" s="78"/>
      <c r="T400" s="78"/>
      <c r="U400" s="78"/>
      <c r="V400" s="78"/>
      <c r="W400" s="81" t="s">
        <v>1674</v>
      </c>
      <c r="X400" s="81" t="s">
        <v>1674</v>
      </c>
      <c r="Y400" s="78"/>
      <c r="Z400" s="78"/>
      <c r="AA400" s="81" t="s">
        <v>1674</v>
      </c>
      <c r="AB400" s="79">
        <v>18</v>
      </c>
      <c r="AC400" s="80" t="str">
        <f>REPLACE(INDEX(GroupVertices[Group],MATCH("~"&amp;Edges[[#This Row],[Vertex 1]],GroupVertices[Vertex],0)),1,1,"")</f>
        <v>2</v>
      </c>
      <c r="AD400" s="80" t="str">
        <f>REPLACE(INDEX(GroupVertices[Group],MATCH("~"&amp;Edges[[#This Row],[Vertex 2]],GroupVertices[Vertex],0)),1,1,"")</f>
        <v>2</v>
      </c>
      <c r="AE400" s="105"/>
      <c r="AF400" s="105"/>
      <c r="AG400" s="105"/>
      <c r="AH400" s="105"/>
      <c r="AI400" s="105"/>
      <c r="AJ400" s="105"/>
      <c r="AK400" s="105"/>
      <c r="AL400" s="105"/>
      <c r="AM400" s="105"/>
    </row>
    <row r="401" spans="1:39" ht="15">
      <c r="A401" s="62" t="s">
        <v>249</v>
      </c>
      <c r="B401" s="62" t="s">
        <v>272</v>
      </c>
      <c r="C401" s="63" t="s">
        <v>3606</v>
      </c>
      <c r="D401" s="64">
        <v>9.473684210526315</v>
      </c>
      <c r="E401" s="65" t="s">
        <v>136</v>
      </c>
      <c r="F401" s="66">
        <v>23.660377358490564</v>
      </c>
      <c r="G401" s="63"/>
      <c r="H401" s="67"/>
      <c r="I401" s="68"/>
      <c r="J401" s="68"/>
      <c r="K401" s="31" t="s">
        <v>65</v>
      </c>
      <c r="L401" s="76">
        <v>401</v>
      </c>
      <c r="M401" s="76"/>
      <c r="N401" s="70"/>
      <c r="O401" s="78" t="s">
        <v>305</v>
      </c>
      <c r="P401" s="78" t="s">
        <v>434</v>
      </c>
      <c r="Q401" s="78" t="s">
        <v>868</v>
      </c>
      <c r="R401" s="78" t="s">
        <v>867</v>
      </c>
      <c r="S401" s="78"/>
      <c r="T401" s="78"/>
      <c r="U401" s="78"/>
      <c r="V401" s="78"/>
      <c r="W401" s="81" t="s">
        <v>1674</v>
      </c>
      <c r="X401" s="81" t="s">
        <v>1674</v>
      </c>
      <c r="Y401" s="78"/>
      <c r="Z401" s="78"/>
      <c r="AA401" s="81" t="s">
        <v>1674</v>
      </c>
      <c r="AB401" s="79">
        <v>18</v>
      </c>
      <c r="AC401" s="80" t="str">
        <f>REPLACE(INDEX(GroupVertices[Group],MATCH("~"&amp;Edges[[#This Row],[Vertex 1]],GroupVertices[Vertex],0)),1,1,"")</f>
        <v>2</v>
      </c>
      <c r="AD401" s="80" t="str">
        <f>REPLACE(INDEX(GroupVertices[Group],MATCH("~"&amp;Edges[[#This Row],[Vertex 2]],GroupVertices[Vertex],0)),1,1,"")</f>
        <v>2</v>
      </c>
      <c r="AE401" s="105"/>
      <c r="AF401" s="105"/>
      <c r="AG401" s="105"/>
      <c r="AH401" s="105"/>
      <c r="AI401" s="105"/>
      <c r="AJ401" s="105"/>
      <c r="AK401" s="105"/>
      <c r="AL401" s="105"/>
      <c r="AM401" s="105"/>
    </row>
    <row r="402" spans="1:39" ht="15">
      <c r="A402" s="62" t="s">
        <v>249</v>
      </c>
      <c r="B402" s="62" t="s">
        <v>272</v>
      </c>
      <c r="C402" s="63" t="s">
        <v>3606</v>
      </c>
      <c r="D402" s="64">
        <v>9.473684210526315</v>
      </c>
      <c r="E402" s="65" t="s">
        <v>136</v>
      </c>
      <c r="F402" s="66">
        <v>23.660377358490564</v>
      </c>
      <c r="G402" s="63"/>
      <c r="H402" s="67"/>
      <c r="I402" s="68"/>
      <c r="J402" s="68"/>
      <c r="K402" s="31" t="s">
        <v>65</v>
      </c>
      <c r="L402" s="76">
        <v>402</v>
      </c>
      <c r="M402" s="76"/>
      <c r="N402" s="70"/>
      <c r="O402" s="78" t="s">
        <v>305</v>
      </c>
      <c r="P402" s="78" t="s">
        <v>434</v>
      </c>
      <c r="Q402" s="78" t="s">
        <v>869</v>
      </c>
      <c r="R402" s="78" t="s">
        <v>866</v>
      </c>
      <c r="S402" s="78"/>
      <c r="T402" s="78"/>
      <c r="U402" s="78"/>
      <c r="V402" s="78"/>
      <c r="W402" s="81" t="s">
        <v>1674</v>
      </c>
      <c r="X402" s="81" t="s">
        <v>1674</v>
      </c>
      <c r="Y402" s="78"/>
      <c r="Z402" s="78"/>
      <c r="AA402" s="81" t="s">
        <v>1674</v>
      </c>
      <c r="AB402" s="79">
        <v>18</v>
      </c>
      <c r="AC402" s="80" t="str">
        <f>REPLACE(INDEX(GroupVertices[Group],MATCH("~"&amp;Edges[[#This Row],[Vertex 1]],GroupVertices[Vertex],0)),1,1,"")</f>
        <v>2</v>
      </c>
      <c r="AD402" s="80" t="str">
        <f>REPLACE(INDEX(GroupVertices[Group],MATCH("~"&amp;Edges[[#This Row],[Vertex 2]],GroupVertices[Vertex],0)),1,1,"")</f>
        <v>2</v>
      </c>
      <c r="AE402" s="105"/>
      <c r="AF402" s="105"/>
      <c r="AG402" s="105"/>
      <c r="AH402" s="105"/>
      <c r="AI402" s="105"/>
      <c r="AJ402" s="105"/>
      <c r="AK402" s="105"/>
      <c r="AL402" s="105"/>
      <c r="AM402" s="105"/>
    </row>
    <row r="403" spans="1:39" ht="15">
      <c r="A403" s="62" t="s">
        <v>249</v>
      </c>
      <c r="B403" s="62" t="s">
        <v>272</v>
      </c>
      <c r="C403" s="63" t="s">
        <v>3606</v>
      </c>
      <c r="D403" s="64">
        <v>9.473684210526315</v>
      </c>
      <c r="E403" s="65" t="s">
        <v>136</v>
      </c>
      <c r="F403" s="66">
        <v>23.660377358490564</v>
      </c>
      <c r="G403" s="63"/>
      <c r="H403" s="67"/>
      <c r="I403" s="68"/>
      <c r="J403" s="68"/>
      <c r="K403" s="31" t="s">
        <v>65</v>
      </c>
      <c r="L403" s="76">
        <v>403</v>
      </c>
      <c r="M403" s="76"/>
      <c r="N403" s="70"/>
      <c r="O403" s="78" t="s">
        <v>305</v>
      </c>
      <c r="P403" s="78" t="s">
        <v>434</v>
      </c>
      <c r="Q403" s="78" t="s">
        <v>869</v>
      </c>
      <c r="R403" s="78" t="s">
        <v>867</v>
      </c>
      <c r="S403" s="78"/>
      <c r="T403" s="78"/>
      <c r="U403" s="78"/>
      <c r="V403" s="78"/>
      <c r="W403" s="81" t="s">
        <v>1674</v>
      </c>
      <c r="X403" s="81" t="s">
        <v>1674</v>
      </c>
      <c r="Y403" s="78"/>
      <c r="Z403" s="78"/>
      <c r="AA403" s="81" t="s">
        <v>1674</v>
      </c>
      <c r="AB403" s="79">
        <v>18</v>
      </c>
      <c r="AC403" s="80" t="str">
        <f>REPLACE(INDEX(GroupVertices[Group],MATCH("~"&amp;Edges[[#This Row],[Vertex 1]],GroupVertices[Vertex],0)),1,1,"")</f>
        <v>2</v>
      </c>
      <c r="AD403" s="80" t="str">
        <f>REPLACE(INDEX(GroupVertices[Group],MATCH("~"&amp;Edges[[#This Row],[Vertex 2]],GroupVertices[Vertex],0)),1,1,"")</f>
        <v>2</v>
      </c>
      <c r="AE403" s="105"/>
      <c r="AF403" s="105"/>
      <c r="AG403" s="105"/>
      <c r="AH403" s="105"/>
      <c r="AI403" s="105"/>
      <c r="AJ403" s="105"/>
      <c r="AK403" s="105"/>
      <c r="AL403" s="105"/>
      <c r="AM403" s="105"/>
    </row>
    <row r="404" spans="1:39" ht="15">
      <c r="A404" s="62" t="s">
        <v>249</v>
      </c>
      <c r="B404" s="62" t="s">
        <v>272</v>
      </c>
      <c r="C404" s="63" t="s">
        <v>3606</v>
      </c>
      <c r="D404" s="64">
        <v>9.473684210526315</v>
      </c>
      <c r="E404" s="65" t="s">
        <v>136</v>
      </c>
      <c r="F404" s="66">
        <v>23.660377358490564</v>
      </c>
      <c r="G404" s="63"/>
      <c r="H404" s="67"/>
      <c r="I404" s="68"/>
      <c r="J404" s="68"/>
      <c r="K404" s="31" t="s">
        <v>65</v>
      </c>
      <c r="L404" s="76">
        <v>404</v>
      </c>
      <c r="M404" s="76"/>
      <c r="N404" s="70"/>
      <c r="O404" s="78" t="s">
        <v>305</v>
      </c>
      <c r="P404" s="78" t="s">
        <v>434</v>
      </c>
      <c r="Q404" s="78" t="s">
        <v>870</v>
      </c>
      <c r="R404" s="78" t="s">
        <v>866</v>
      </c>
      <c r="S404" s="78"/>
      <c r="T404" s="78"/>
      <c r="U404" s="78"/>
      <c r="V404" s="78"/>
      <c r="W404" s="81" t="s">
        <v>1674</v>
      </c>
      <c r="X404" s="81" t="s">
        <v>1674</v>
      </c>
      <c r="Y404" s="78"/>
      <c r="Z404" s="78"/>
      <c r="AA404" s="81" t="s">
        <v>1674</v>
      </c>
      <c r="AB404" s="79">
        <v>18</v>
      </c>
      <c r="AC404" s="80" t="str">
        <f>REPLACE(INDEX(GroupVertices[Group],MATCH("~"&amp;Edges[[#This Row],[Vertex 1]],GroupVertices[Vertex],0)),1,1,"")</f>
        <v>2</v>
      </c>
      <c r="AD404" s="80" t="str">
        <f>REPLACE(INDEX(GroupVertices[Group],MATCH("~"&amp;Edges[[#This Row],[Vertex 2]],GroupVertices[Vertex],0)),1,1,"")</f>
        <v>2</v>
      </c>
      <c r="AE404" s="105"/>
      <c r="AF404" s="105"/>
      <c r="AG404" s="105"/>
      <c r="AH404" s="105"/>
      <c r="AI404" s="105"/>
      <c r="AJ404" s="105"/>
      <c r="AK404" s="105"/>
      <c r="AL404" s="105"/>
      <c r="AM404" s="105"/>
    </row>
    <row r="405" spans="1:39" ht="15">
      <c r="A405" s="62" t="s">
        <v>249</v>
      </c>
      <c r="B405" s="62" t="s">
        <v>272</v>
      </c>
      <c r="C405" s="63" t="s">
        <v>3606</v>
      </c>
      <c r="D405" s="64">
        <v>9.473684210526315</v>
      </c>
      <c r="E405" s="65" t="s">
        <v>136</v>
      </c>
      <c r="F405" s="66">
        <v>23.660377358490564</v>
      </c>
      <c r="G405" s="63"/>
      <c r="H405" s="67"/>
      <c r="I405" s="68"/>
      <c r="J405" s="68"/>
      <c r="K405" s="31" t="s">
        <v>65</v>
      </c>
      <c r="L405" s="76">
        <v>405</v>
      </c>
      <c r="M405" s="76"/>
      <c r="N405" s="70"/>
      <c r="O405" s="78" t="s">
        <v>305</v>
      </c>
      <c r="P405" s="78" t="s">
        <v>434</v>
      </c>
      <c r="Q405" s="78" t="s">
        <v>870</v>
      </c>
      <c r="R405" s="78" t="s">
        <v>867</v>
      </c>
      <c r="S405" s="78"/>
      <c r="T405" s="78"/>
      <c r="U405" s="78"/>
      <c r="V405" s="78"/>
      <c r="W405" s="81" t="s">
        <v>1674</v>
      </c>
      <c r="X405" s="81" t="s">
        <v>1674</v>
      </c>
      <c r="Y405" s="78"/>
      <c r="Z405" s="78"/>
      <c r="AA405" s="81" t="s">
        <v>1674</v>
      </c>
      <c r="AB405" s="79">
        <v>18</v>
      </c>
      <c r="AC405" s="80" t="str">
        <f>REPLACE(INDEX(GroupVertices[Group],MATCH("~"&amp;Edges[[#This Row],[Vertex 1]],GroupVertices[Vertex],0)),1,1,"")</f>
        <v>2</v>
      </c>
      <c r="AD405" s="80" t="str">
        <f>REPLACE(INDEX(GroupVertices[Group],MATCH("~"&amp;Edges[[#This Row],[Vertex 2]],GroupVertices[Vertex],0)),1,1,"")</f>
        <v>2</v>
      </c>
      <c r="AE405" s="105"/>
      <c r="AF405" s="105"/>
      <c r="AG405" s="105"/>
      <c r="AH405" s="105"/>
      <c r="AI405" s="105"/>
      <c r="AJ405" s="105"/>
      <c r="AK405" s="105"/>
      <c r="AL405" s="105"/>
      <c r="AM405" s="105"/>
    </row>
    <row r="406" spans="1:39" ht="15">
      <c r="A406" s="62" t="s">
        <v>249</v>
      </c>
      <c r="B406" s="62" t="s">
        <v>272</v>
      </c>
      <c r="C406" s="63" t="s">
        <v>3606</v>
      </c>
      <c r="D406" s="64">
        <v>9.473684210526315</v>
      </c>
      <c r="E406" s="65" t="s">
        <v>136</v>
      </c>
      <c r="F406" s="66">
        <v>23.660377358490564</v>
      </c>
      <c r="G406" s="63"/>
      <c r="H406" s="67"/>
      <c r="I406" s="68"/>
      <c r="J406" s="68"/>
      <c r="K406" s="31" t="s">
        <v>65</v>
      </c>
      <c r="L406" s="76">
        <v>406</v>
      </c>
      <c r="M406" s="76"/>
      <c r="N406" s="70"/>
      <c r="O406" s="78" t="s">
        <v>305</v>
      </c>
      <c r="P406" s="78" t="s">
        <v>434</v>
      </c>
      <c r="Q406" s="78" t="s">
        <v>871</v>
      </c>
      <c r="R406" s="78" t="s">
        <v>866</v>
      </c>
      <c r="S406" s="78"/>
      <c r="T406" s="78"/>
      <c r="U406" s="78"/>
      <c r="V406" s="78"/>
      <c r="W406" s="81" t="s">
        <v>1674</v>
      </c>
      <c r="X406" s="81" t="s">
        <v>1674</v>
      </c>
      <c r="Y406" s="78"/>
      <c r="Z406" s="78"/>
      <c r="AA406" s="81" t="s">
        <v>1674</v>
      </c>
      <c r="AB406" s="79">
        <v>18</v>
      </c>
      <c r="AC406" s="80" t="str">
        <f>REPLACE(INDEX(GroupVertices[Group],MATCH("~"&amp;Edges[[#This Row],[Vertex 1]],GroupVertices[Vertex],0)),1,1,"")</f>
        <v>2</v>
      </c>
      <c r="AD406" s="80" t="str">
        <f>REPLACE(INDEX(GroupVertices[Group],MATCH("~"&amp;Edges[[#This Row],[Vertex 2]],GroupVertices[Vertex],0)),1,1,"")</f>
        <v>2</v>
      </c>
      <c r="AE406" s="105"/>
      <c r="AF406" s="105"/>
      <c r="AG406" s="105"/>
      <c r="AH406" s="105"/>
      <c r="AI406" s="105"/>
      <c r="AJ406" s="105"/>
      <c r="AK406" s="105"/>
      <c r="AL406" s="105"/>
      <c r="AM406" s="105"/>
    </row>
    <row r="407" spans="1:39" ht="15">
      <c r="A407" s="62" t="s">
        <v>249</v>
      </c>
      <c r="B407" s="62" t="s">
        <v>272</v>
      </c>
      <c r="C407" s="63" t="s">
        <v>3606</v>
      </c>
      <c r="D407" s="64">
        <v>9.473684210526315</v>
      </c>
      <c r="E407" s="65" t="s">
        <v>136</v>
      </c>
      <c r="F407" s="66">
        <v>23.660377358490564</v>
      </c>
      <c r="G407" s="63"/>
      <c r="H407" s="67"/>
      <c r="I407" s="68"/>
      <c r="J407" s="68"/>
      <c r="K407" s="31" t="s">
        <v>65</v>
      </c>
      <c r="L407" s="76">
        <v>407</v>
      </c>
      <c r="M407" s="76"/>
      <c r="N407" s="70"/>
      <c r="O407" s="78" t="s">
        <v>305</v>
      </c>
      <c r="P407" s="78" t="s">
        <v>434</v>
      </c>
      <c r="Q407" s="78" t="s">
        <v>871</v>
      </c>
      <c r="R407" s="78" t="s">
        <v>867</v>
      </c>
      <c r="S407" s="78"/>
      <c r="T407" s="78"/>
      <c r="U407" s="78"/>
      <c r="V407" s="78"/>
      <c r="W407" s="81" t="s">
        <v>1674</v>
      </c>
      <c r="X407" s="81" t="s">
        <v>1674</v>
      </c>
      <c r="Y407" s="78"/>
      <c r="Z407" s="78"/>
      <c r="AA407" s="81" t="s">
        <v>1674</v>
      </c>
      <c r="AB407" s="79">
        <v>18</v>
      </c>
      <c r="AC407" s="80" t="str">
        <f>REPLACE(INDEX(GroupVertices[Group],MATCH("~"&amp;Edges[[#This Row],[Vertex 1]],GroupVertices[Vertex],0)),1,1,"")</f>
        <v>2</v>
      </c>
      <c r="AD407" s="80" t="str">
        <f>REPLACE(INDEX(GroupVertices[Group],MATCH("~"&amp;Edges[[#This Row],[Vertex 2]],GroupVertices[Vertex],0)),1,1,"")</f>
        <v>2</v>
      </c>
      <c r="AE407" s="105"/>
      <c r="AF407" s="105"/>
      <c r="AG407" s="105"/>
      <c r="AH407" s="105"/>
      <c r="AI407" s="105"/>
      <c r="AJ407" s="105"/>
      <c r="AK407" s="105"/>
      <c r="AL407" s="105"/>
      <c r="AM407" s="105"/>
    </row>
    <row r="408" spans="1:39" ht="15">
      <c r="A408" s="62" t="s">
        <v>249</v>
      </c>
      <c r="B408" s="62" t="s">
        <v>272</v>
      </c>
      <c r="C408" s="63" t="s">
        <v>3606</v>
      </c>
      <c r="D408" s="64">
        <v>9.473684210526315</v>
      </c>
      <c r="E408" s="65" t="s">
        <v>136</v>
      </c>
      <c r="F408" s="66">
        <v>23.660377358490564</v>
      </c>
      <c r="G408" s="63"/>
      <c r="H408" s="67"/>
      <c r="I408" s="68"/>
      <c r="J408" s="68"/>
      <c r="K408" s="31" t="s">
        <v>65</v>
      </c>
      <c r="L408" s="76">
        <v>408</v>
      </c>
      <c r="M408" s="76"/>
      <c r="N408" s="70"/>
      <c r="O408" s="78" t="s">
        <v>305</v>
      </c>
      <c r="P408" s="78" t="s">
        <v>434</v>
      </c>
      <c r="Q408" s="78" t="s">
        <v>872</v>
      </c>
      <c r="R408" s="78" t="s">
        <v>866</v>
      </c>
      <c r="S408" s="78"/>
      <c r="T408" s="78"/>
      <c r="U408" s="78"/>
      <c r="V408" s="78"/>
      <c r="W408" s="81" t="s">
        <v>1674</v>
      </c>
      <c r="X408" s="81" t="s">
        <v>1674</v>
      </c>
      <c r="Y408" s="78"/>
      <c r="Z408" s="78"/>
      <c r="AA408" s="81" t="s">
        <v>1674</v>
      </c>
      <c r="AB408" s="79">
        <v>18</v>
      </c>
      <c r="AC408" s="80" t="str">
        <f>REPLACE(INDEX(GroupVertices[Group],MATCH("~"&amp;Edges[[#This Row],[Vertex 1]],GroupVertices[Vertex],0)),1,1,"")</f>
        <v>2</v>
      </c>
      <c r="AD408" s="80" t="str">
        <f>REPLACE(INDEX(GroupVertices[Group],MATCH("~"&amp;Edges[[#This Row],[Vertex 2]],GroupVertices[Vertex],0)),1,1,"")</f>
        <v>2</v>
      </c>
      <c r="AE408" s="105"/>
      <c r="AF408" s="105"/>
      <c r="AG408" s="105"/>
      <c r="AH408" s="105"/>
      <c r="AI408" s="105"/>
      <c r="AJ408" s="105"/>
      <c r="AK408" s="105"/>
      <c r="AL408" s="105"/>
      <c r="AM408" s="105"/>
    </row>
    <row r="409" spans="1:39" ht="15">
      <c r="A409" s="62" t="s">
        <v>249</v>
      </c>
      <c r="B409" s="62" t="s">
        <v>272</v>
      </c>
      <c r="C409" s="63" t="s">
        <v>3606</v>
      </c>
      <c r="D409" s="64">
        <v>9.473684210526315</v>
      </c>
      <c r="E409" s="65" t="s">
        <v>136</v>
      </c>
      <c r="F409" s="66">
        <v>23.660377358490564</v>
      </c>
      <c r="G409" s="63"/>
      <c r="H409" s="67"/>
      <c r="I409" s="68"/>
      <c r="J409" s="68"/>
      <c r="K409" s="31" t="s">
        <v>65</v>
      </c>
      <c r="L409" s="76">
        <v>409</v>
      </c>
      <c r="M409" s="76"/>
      <c r="N409" s="70"/>
      <c r="O409" s="78" t="s">
        <v>305</v>
      </c>
      <c r="P409" s="78" t="s">
        <v>434</v>
      </c>
      <c r="Q409" s="78" t="s">
        <v>872</v>
      </c>
      <c r="R409" s="78" t="s">
        <v>867</v>
      </c>
      <c r="S409" s="78"/>
      <c r="T409" s="78"/>
      <c r="U409" s="78"/>
      <c r="V409" s="78"/>
      <c r="W409" s="81" t="s">
        <v>1674</v>
      </c>
      <c r="X409" s="81" t="s">
        <v>1674</v>
      </c>
      <c r="Y409" s="78"/>
      <c r="Z409" s="78"/>
      <c r="AA409" s="81" t="s">
        <v>1674</v>
      </c>
      <c r="AB409" s="79">
        <v>18</v>
      </c>
      <c r="AC409" s="80" t="str">
        <f>REPLACE(INDEX(GroupVertices[Group],MATCH("~"&amp;Edges[[#This Row],[Vertex 1]],GroupVertices[Vertex],0)),1,1,"")</f>
        <v>2</v>
      </c>
      <c r="AD409" s="80" t="str">
        <f>REPLACE(INDEX(GroupVertices[Group],MATCH("~"&amp;Edges[[#This Row],[Vertex 2]],GroupVertices[Vertex],0)),1,1,"")</f>
        <v>2</v>
      </c>
      <c r="AE409" s="105"/>
      <c r="AF409" s="105"/>
      <c r="AG409" s="105"/>
      <c r="AH409" s="105"/>
      <c r="AI409" s="105"/>
      <c r="AJ409" s="105"/>
      <c r="AK409" s="105"/>
      <c r="AL409" s="105"/>
      <c r="AM409" s="105"/>
    </row>
    <row r="410" spans="1:39" ht="15">
      <c r="A410" s="62" t="s">
        <v>249</v>
      </c>
      <c r="B410" s="62" t="s">
        <v>272</v>
      </c>
      <c r="C410" s="63" t="s">
        <v>3606</v>
      </c>
      <c r="D410" s="64">
        <v>9.473684210526315</v>
      </c>
      <c r="E410" s="65" t="s">
        <v>136</v>
      </c>
      <c r="F410" s="66">
        <v>23.660377358490564</v>
      </c>
      <c r="G410" s="63"/>
      <c r="H410" s="67"/>
      <c r="I410" s="68"/>
      <c r="J410" s="68"/>
      <c r="K410" s="31" t="s">
        <v>65</v>
      </c>
      <c r="L410" s="76">
        <v>410</v>
      </c>
      <c r="M410" s="76"/>
      <c r="N410" s="70"/>
      <c r="O410" s="78" t="s">
        <v>305</v>
      </c>
      <c r="P410" s="78" t="s">
        <v>434</v>
      </c>
      <c r="Q410" s="78" t="s">
        <v>873</v>
      </c>
      <c r="R410" s="78" t="s">
        <v>866</v>
      </c>
      <c r="S410" s="78"/>
      <c r="T410" s="78"/>
      <c r="U410" s="78"/>
      <c r="V410" s="78"/>
      <c r="W410" s="81" t="s">
        <v>1674</v>
      </c>
      <c r="X410" s="81" t="s">
        <v>1674</v>
      </c>
      <c r="Y410" s="78"/>
      <c r="Z410" s="78"/>
      <c r="AA410" s="81" t="s">
        <v>1674</v>
      </c>
      <c r="AB410" s="79">
        <v>18</v>
      </c>
      <c r="AC410" s="80" t="str">
        <f>REPLACE(INDEX(GroupVertices[Group],MATCH("~"&amp;Edges[[#This Row],[Vertex 1]],GroupVertices[Vertex],0)),1,1,"")</f>
        <v>2</v>
      </c>
      <c r="AD410" s="80" t="str">
        <f>REPLACE(INDEX(GroupVertices[Group],MATCH("~"&amp;Edges[[#This Row],[Vertex 2]],GroupVertices[Vertex],0)),1,1,"")</f>
        <v>2</v>
      </c>
      <c r="AE410" s="105"/>
      <c r="AF410" s="105"/>
      <c r="AG410" s="105"/>
      <c r="AH410" s="105"/>
      <c r="AI410" s="105"/>
      <c r="AJ410" s="105"/>
      <c r="AK410" s="105"/>
      <c r="AL410" s="105"/>
      <c r="AM410" s="105"/>
    </row>
    <row r="411" spans="1:39" ht="15">
      <c r="A411" s="62" t="s">
        <v>249</v>
      </c>
      <c r="B411" s="62" t="s">
        <v>272</v>
      </c>
      <c r="C411" s="63" t="s">
        <v>3606</v>
      </c>
      <c r="D411" s="64">
        <v>9.473684210526315</v>
      </c>
      <c r="E411" s="65" t="s">
        <v>136</v>
      </c>
      <c r="F411" s="66">
        <v>23.660377358490564</v>
      </c>
      <c r="G411" s="63"/>
      <c r="H411" s="67"/>
      <c r="I411" s="68"/>
      <c r="J411" s="68"/>
      <c r="K411" s="31" t="s">
        <v>65</v>
      </c>
      <c r="L411" s="76">
        <v>411</v>
      </c>
      <c r="M411" s="76"/>
      <c r="N411" s="70"/>
      <c r="O411" s="78" t="s">
        <v>305</v>
      </c>
      <c r="P411" s="78" t="s">
        <v>434</v>
      </c>
      <c r="Q411" s="78" t="s">
        <v>873</v>
      </c>
      <c r="R411" s="78" t="s">
        <v>867</v>
      </c>
      <c r="S411" s="78"/>
      <c r="T411" s="78"/>
      <c r="U411" s="78"/>
      <c r="V411" s="78"/>
      <c r="W411" s="81" t="s">
        <v>1674</v>
      </c>
      <c r="X411" s="81" t="s">
        <v>1674</v>
      </c>
      <c r="Y411" s="78"/>
      <c r="Z411" s="78"/>
      <c r="AA411" s="81" t="s">
        <v>1674</v>
      </c>
      <c r="AB411" s="79">
        <v>18</v>
      </c>
      <c r="AC411" s="80" t="str">
        <f>REPLACE(INDEX(GroupVertices[Group],MATCH("~"&amp;Edges[[#This Row],[Vertex 1]],GroupVertices[Vertex],0)),1,1,"")</f>
        <v>2</v>
      </c>
      <c r="AD411" s="80" t="str">
        <f>REPLACE(INDEX(GroupVertices[Group],MATCH("~"&amp;Edges[[#This Row],[Vertex 2]],GroupVertices[Vertex],0)),1,1,"")</f>
        <v>2</v>
      </c>
      <c r="AE411" s="105"/>
      <c r="AF411" s="105"/>
      <c r="AG411" s="105"/>
      <c r="AH411" s="105"/>
      <c r="AI411" s="105"/>
      <c r="AJ411" s="105"/>
      <c r="AK411" s="105"/>
      <c r="AL411" s="105"/>
      <c r="AM411" s="105"/>
    </row>
    <row r="412" spans="1:39" ht="15">
      <c r="A412" s="62" t="s">
        <v>249</v>
      </c>
      <c r="B412" s="62" t="s">
        <v>272</v>
      </c>
      <c r="C412" s="63" t="s">
        <v>3606</v>
      </c>
      <c r="D412" s="64">
        <v>9.473684210526315</v>
      </c>
      <c r="E412" s="65" t="s">
        <v>136</v>
      </c>
      <c r="F412" s="66">
        <v>23.660377358490564</v>
      </c>
      <c r="G412" s="63"/>
      <c r="H412" s="67"/>
      <c r="I412" s="68"/>
      <c r="J412" s="68"/>
      <c r="K412" s="31" t="s">
        <v>65</v>
      </c>
      <c r="L412" s="76">
        <v>412</v>
      </c>
      <c r="M412" s="76"/>
      <c r="N412" s="70"/>
      <c r="O412" s="78" t="s">
        <v>305</v>
      </c>
      <c r="P412" s="78" t="s">
        <v>434</v>
      </c>
      <c r="Q412" s="78" t="s">
        <v>874</v>
      </c>
      <c r="R412" s="78" t="s">
        <v>866</v>
      </c>
      <c r="S412" s="78"/>
      <c r="T412" s="78"/>
      <c r="U412" s="78"/>
      <c r="V412" s="78"/>
      <c r="W412" s="81" t="s">
        <v>1674</v>
      </c>
      <c r="X412" s="81" t="s">
        <v>1674</v>
      </c>
      <c r="Y412" s="78"/>
      <c r="Z412" s="78"/>
      <c r="AA412" s="81" t="s">
        <v>1674</v>
      </c>
      <c r="AB412" s="79">
        <v>18</v>
      </c>
      <c r="AC412" s="80" t="str">
        <f>REPLACE(INDEX(GroupVertices[Group],MATCH("~"&amp;Edges[[#This Row],[Vertex 1]],GroupVertices[Vertex],0)),1,1,"")</f>
        <v>2</v>
      </c>
      <c r="AD412" s="80" t="str">
        <f>REPLACE(INDEX(GroupVertices[Group],MATCH("~"&amp;Edges[[#This Row],[Vertex 2]],GroupVertices[Vertex],0)),1,1,"")</f>
        <v>2</v>
      </c>
      <c r="AE412" s="105"/>
      <c r="AF412" s="105"/>
      <c r="AG412" s="105"/>
      <c r="AH412" s="105"/>
      <c r="AI412" s="105"/>
      <c r="AJ412" s="105"/>
      <c r="AK412" s="105"/>
      <c r="AL412" s="105"/>
      <c r="AM412" s="105"/>
    </row>
    <row r="413" spans="1:39" ht="15">
      <c r="A413" s="62" t="s">
        <v>249</v>
      </c>
      <c r="B413" s="62" t="s">
        <v>272</v>
      </c>
      <c r="C413" s="63" t="s">
        <v>3606</v>
      </c>
      <c r="D413" s="64">
        <v>9.473684210526315</v>
      </c>
      <c r="E413" s="65" t="s">
        <v>136</v>
      </c>
      <c r="F413" s="66">
        <v>23.660377358490564</v>
      </c>
      <c r="G413" s="63"/>
      <c r="H413" s="67"/>
      <c r="I413" s="68"/>
      <c r="J413" s="68"/>
      <c r="K413" s="31" t="s">
        <v>65</v>
      </c>
      <c r="L413" s="76">
        <v>413</v>
      </c>
      <c r="M413" s="76"/>
      <c r="N413" s="70"/>
      <c r="O413" s="78" t="s">
        <v>305</v>
      </c>
      <c r="P413" s="78" t="s">
        <v>434</v>
      </c>
      <c r="Q413" s="78" t="s">
        <v>874</v>
      </c>
      <c r="R413" s="78" t="s">
        <v>867</v>
      </c>
      <c r="S413" s="78"/>
      <c r="T413" s="78"/>
      <c r="U413" s="78"/>
      <c r="V413" s="78"/>
      <c r="W413" s="81" t="s">
        <v>1674</v>
      </c>
      <c r="X413" s="81" t="s">
        <v>1674</v>
      </c>
      <c r="Y413" s="78"/>
      <c r="Z413" s="78"/>
      <c r="AA413" s="81" t="s">
        <v>1674</v>
      </c>
      <c r="AB413" s="79">
        <v>18</v>
      </c>
      <c r="AC413" s="80" t="str">
        <f>REPLACE(INDEX(GroupVertices[Group],MATCH("~"&amp;Edges[[#This Row],[Vertex 1]],GroupVertices[Vertex],0)),1,1,"")</f>
        <v>2</v>
      </c>
      <c r="AD413" s="80" t="str">
        <f>REPLACE(INDEX(GroupVertices[Group],MATCH("~"&amp;Edges[[#This Row],[Vertex 2]],GroupVertices[Vertex],0)),1,1,"")</f>
        <v>2</v>
      </c>
      <c r="AE413" s="105"/>
      <c r="AF413" s="105"/>
      <c r="AG413" s="105"/>
      <c r="AH413" s="105"/>
      <c r="AI413" s="105"/>
      <c r="AJ413" s="105"/>
      <c r="AK413" s="105"/>
      <c r="AL413" s="105"/>
      <c r="AM413" s="105"/>
    </row>
    <row r="414" spans="1:39" ht="15">
      <c r="A414" s="62" t="s">
        <v>249</v>
      </c>
      <c r="B414" s="62" t="s">
        <v>272</v>
      </c>
      <c r="C414" s="63" t="s">
        <v>3606</v>
      </c>
      <c r="D414" s="64">
        <v>9.473684210526315</v>
      </c>
      <c r="E414" s="65" t="s">
        <v>136</v>
      </c>
      <c r="F414" s="66">
        <v>23.660377358490564</v>
      </c>
      <c r="G414" s="63"/>
      <c r="H414" s="67"/>
      <c r="I414" s="68"/>
      <c r="J414" s="68"/>
      <c r="K414" s="31" t="s">
        <v>65</v>
      </c>
      <c r="L414" s="76">
        <v>414</v>
      </c>
      <c r="M414" s="76"/>
      <c r="N414" s="70"/>
      <c r="O414" s="78" t="s">
        <v>305</v>
      </c>
      <c r="P414" s="78" t="s">
        <v>434</v>
      </c>
      <c r="Q414" s="78" t="s">
        <v>875</v>
      </c>
      <c r="R414" s="78" t="s">
        <v>866</v>
      </c>
      <c r="S414" s="78"/>
      <c r="T414" s="78"/>
      <c r="U414" s="78"/>
      <c r="V414" s="78"/>
      <c r="W414" s="81" t="s">
        <v>1674</v>
      </c>
      <c r="X414" s="81" t="s">
        <v>1674</v>
      </c>
      <c r="Y414" s="78"/>
      <c r="Z414" s="78"/>
      <c r="AA414" s="81" t="s">
        <v>1674</v>
      </c>
      <c r="AB414" s="79">
        <v>18</v>
      </c>
      <c r="AC414" s="80" t="str">
        <f>REPLACE(INDEX(GroupVertices[Group],MATCH("~"&amp;Edges[[#This Row],[Vertex 1]],GroupVertices[Vertex],0)),1,1,"")</f>
        <v>2</v>
      </c>
      <c r="AD414" s="80" t="str">
        <f>REPLACE(INDEX(GroupVertices[Group],MATCH("~"&amp;Edges[[#This Row],[Vertex 2]],GroupVertices[Vertex],0)),1,1,"")</f>
        <v>2</v>
      </c>
      <c r="AE414" s="105"/>
      <c r="AF414" s="105"/>
      <c r="AG414" s="105"/>
      <c r="AH414" s="105"/>
      <c r="AI414" s="105"/>
      <c r="AJ414" s="105"/>
      <c r="AK414" s="105"/>
      <c r="AL414" s="105"/>
      <c r="AM414" s="105"/>
    </row>
    <row r="415" spans="1:39" ht="15">
      <c r="A415" s="62" t="s">
        <v>249</v>
      </c>
      <c r="B415" s="62" t="s">
        <v>272</v>
      </c>
      <c r="C415" s="63" t="s">
        <v>3606</v>
      </c>
      <c r="D415" s="64">
        <v>9.473684210526315</v>
      </c>
      <c r="E415" s="65" t="s">
        <v>136</v>
      </c>
      <c r="F415" s="66">
        <v>23.660377358490564</v>
      </c>
      <c r="G415" s="63"/>
      <c r="H415" s="67"/>
      <c r="I415" s="68"/>
      <c r="J415" s="68"/>
      <c r="K415" s="31" t="s">
        <v>65</v>
      </c>
      <c r="L415" s="76">
        <v>415</v>
      </c>
      <c r="M415" s="76"/>
      <c r="N415" s="70"/>
      <c r="O415" s="78" t="s">
        <v>305</v>
      </c>
      <c r="P415" s="78" t="s">
        <v>434</v>
      </c>
      <c r="Q415" s="78" t="s">
        <v>875</v>
      </c>
      <c r="R415" s="78" t="s">
        <v>867</v>
      </c>
      <c r="S415" s="78"/>
      <c r="T415" s="78"/>
      <c r="U415" s="78"/>
      <c r="V415" s="78"/>
      <c r="W415" s="81" t="s">
        <v>1674</v>
      </c>
      <c r="X415" s="81" t="s">
        <v>1674</v>
      </c>
      <c r="Y415" s="78"/>
      <c r="Z415" s="78"/>
      <c r="AA415" s="81" t="s">
        <v>1674</v>
      </c>
      <c r="AB415" s="79">
        <v>18</v>
      </c>
      <c r="AC415" s="80" t="str">
        <f>REPLACE(INDEX(GroupVertices[Group],MATCH("~"&amp;Edges[[#This Row],[Vertex 1]],GroupVertices[Vertex],0)),1,1,"")</f>
        <v>2</v>
      </c>
      <c r="AD415" s="80" t="str">
        <f>REPLACE(INDEX(GroupVertices[Group],MATCH("~"&amp;Edges[[#This Row],[Vertex 2]],GroupVertices[Vertex],0)),1,1,"")</f>
        <v>2</v>
      </c>
      <c r="AE415" s="105"/>
      <c r="AF415" s="105"/>
      <c r="AG415" s="105"/>
      <c r="AH415" s="105"/>
      <c r="AI415" s="105"/>
      <c r="AJ415" s="105"/>
      <c r="AK415" s="105"/>
      <c r="AL415" s="105"/>
      <c r="AM415" s="105"/>
    </row>
    <row r="416" spans="1:39" ht="15">
      <c r="A416" s="62" t="s">
        <v>249</v>
      </c>
      <c r="B416" s="62" t="s">
        <v>272</v>
      </c>
      <c r="C416" s="63" t="s">
        <v>3606</v>
      </c>
      <c r="D416" s="64">
        <v>9.473684210526315</v>
      </c>
      <c r="E416" s="65" t="s">
        <v>136</v>
      </c>
      <c r="F416" s="66">
        <v>23.660377358490564</v>
      </c>
      <c r="G416" s="63"/>
      <c r="H416" s="67"/>
      <c r="I416" s="68"/>
      <c r="J416" s="68"/>
      <c r="K416" s="31" t="s">
        <v>65</v>
      </c>
      <c r="L416" s="76">
        <v>416</v>
      </c>
      <c r="M416" s="76"/>
      <c r="N416" s="70"/>
      <c r="O416" s="78" t="s">
        <v>305</v>
      </c>
      <c r="P416" s="78" t="s">
        <v>434</v>
      </c>
      <c r="Q416" s="78" t="s">
        <v>876</v>
      </c>
      <c r="R416" s="78" t="s">
        <v>866</v>
      </c>
      <c r="S416" s="78"/>
      <c r="T416" s="78"/>
      <c r="U416" s="78"/>
      <c r="V416" s="78"/>
      <c r="W416" s="81" t="s">
        <v>1674</v>
      </c>
      <c r="X416" s="81" t="s">
        <v>1674</v>
      </c>
      <c r="Y416" s="78"/>
      <c r="Z416" s="78"/>
      <c r="AA416" s="81" t="s">
        <v>1674</v>
      </c>
      <c r="AB416" s="79">
        <v>18</v>
      </c>
      <c r="AC416" s="80" t="str">
        <f>REPLACE(INDEX(GroupVertices[Group],MATCH("~"&amp;Edges[[#This Row],[Vertex 1]],GroupVertices[Vertex],0)),1,1,"")</f>
        <v>2</v>
      </c>
      <c r="AD416" s="80" t="str">
        <f>REPLACE(INDEX(GroupVertices[Group],MATCH("~"&amp;Edges[[#This Row],[Vertex 2]],GroupVertices[Vertex],0)),1,1,"")</f>
        <v>2</v>
      </c>
      <c r="AE416" s="105"/>
      <c r="AF416" s="105"/>
      <c r="AG416" s="105"/>
      <c r="AH416" s="105"/>
      <c r="AI416" s="105"/>
      <c r="AJ416" s="105"/>
      <c r="AK416" s="105"/>
      <c r="AL416" s="105"/>
      <c r="AM416" s="105"/>
    </row>
    <row r="417" spans="1:39" ht="15">
      <c r="A417" s="62" t="s">
        <v>249</v>
      </c>
      <c r="B417" s="62" t="s">
        <v>272</v>
      </c>
      <c r="C417" s="63" t="s">
        <v>3606</v>
      </c>
      <c r="D417" s="64">
        <v>9.473684210526315</v>
      </c>
      <c r="E417" s="65" t="s">
        <v>136</v>
      </c>
      <c r="F417" s="66">
        <v>23.660377358490564</v>
      </c>
      <c r="G417" s="63"/>
      <c r="H417" s="67"/>
      <c r="I417" s="68"/>
      <c r="J417" s="68"/>
      <c r="K417" s="31" t="s">
        <v>65</v>
      </c>
      <c r="L417" s="76">
        <v>417</v>
      </c>
      <c r="M417" s="76"/>
      <c r="N417" s="70"/>
      <c r="O417" s="78" t="s">
        <v>305</v>
      </c>
      <c r="P417" s="78" t="s">
        <v>434</v>
      </c>
      <c r="Q417" s="78" t="s">
        <v>876</v>
      </c>
      <c r="R417" s="78" t="s">
        <v>867</v>
      </c>
      <c r="S417" s="78"/>
      <c r="T417" s="78"/>
      <c r="U417" s="78"/>
      <c r="V417" s="78"/>
      <c r="W417" s="81" t="s">
        <v>1674</v>
      </c>
      <c r="X417" s="81" t="s">
        <v>1674</v>
      </c>
      <c r="Y417" s="78"/>
      <c r="Z417" s="78"/>
      <c r="AA417" s="81" t="s">
        <v>1674</v>
      </c>
      <c r="AB417" s="79">
        <v>18</v>
      </c>
      <c r="AC417" s="80" t="str">
        <f>REPLACE(INDEX(GroupVertices[Group],MATCH("~"&amp;Edges[[#This Row],[Vertex 1]],GroupVertices[Vertex],0)),1,1,"")</f>
        <v>2</v>
      </c>
      <c r="AD417" s="80" t="str">
        <f>REPLACE(INDEX(GroupVertices[Group],MATCH("~"&amp;Edges[[#This Row],[Vertex 2]],GroupVertices[Vertex],0)),1,1,"")</f>
        <v>2</v>
      </c>
      <c r="AE417" s="105"/>
      <c r="AF417" s="105"/>
      <c r="AG417" s="105"/>
      <c r="AH417" s="105"/>
      <c r="AI417" s="105"/>
      <c r="AJ417" s="105"/>
      <c r="AK417" s="105"/>
      <c r="AL417" s="105"/>
      <c r="AM417" s="105"/>
    </row>
    <row r="418" spans="1:39" ht="15">
      <c r="A418" s="62" t="s">
        <v>241</v>
      </c>
      <c r="B418" s="62" t="s">
        <v>272</v>
      </c>
      <c r="C418" s="63" t="s">
        <v>3598</v>
      </c>
      <c r="D418" s="64">
        <v>5.2631578947368425</v>
      </c>
      <c r="E418" s="65" t="s">
        <v>136</v>
      </c>
      <c r="F418" s="66">
        <v>31.50943396226415</v>
      </c>
      <c r="G418" s="63"/>
      <c r="H418" s="67"/>
      <c r="I418" s="68"/>
      <c r="J418" s="68"/>
      <c r="K418" s="31" t="s">
        <v>65</v>
      </c>
      <c r="L418" s="76">
        <v>418</v>
      </c>
      <c r="M418" s="76"/>
      <c r="N418" s="70"/>
      <c r="O418" s="78" t="s">
        <v>305</v>
      </c>
      <c r="P418" s="78" t="s">
        <v>434</v>
      </c>
      <c r="Q418" s="78" t="s">
        <v>877</v>
      </c>
      <c r="R418" s="78" t="s">
        <v>866</v>
      </c>
      <c r="S418" s="78"/>
      <c r="T418" s="78"/>
      <c r="U418" s="78"/>
      <c r="V418" s="78"/>
      <c r="W418" s="81" t="s">
        <v>1674</v>
      </c>
      <c r="X418" s="81" t="s">
        <v>1674</v>
      </c>
      <c r="Y418" s="78"/>
      <c r="Z418" s="78"/>
      <c r="AA418" s="81" t="s">
        <v>1674</v>
      </c>
      <c r="AB418" s="79">
        <v>2</v>
      </c>
      <c r="AC418" s="80" t="str">
        <f>REPLACE(INDEX(GroupVertices[Group],MATCH("~"&amp;Edges[[#This Row],[Vertex 1]],GroupVertices[Vertex],0)),1,1,"")</f>
        <v>2</v>
      </c>
      <c r="AD418" s="80" t="str">
        <f>REPLACE(INDEX(GroupVertices[Group],MATCH("~"&amp;Edges[[#This Row],[Vertex 2]],GroupVertices[Vertex],0)),1,1,"")</f>
        <v>2</v>
      </c>
      <c r="AE418" s="105"/>
      <c r="AF418" s="105"/>
      <c r="AG418" s="105"/>
      <c r="AH418" s="105"/>
      <c r="AI418" s="105"/>
      <c r="AJ418" s="105"/>
      <c r="AK418" s="105"/>
      <c r="AL418" s="105"/>
      <c r="AM418" s="105"/>
    </row>
    <row r="419" spans="1:39" ht="15">
      <c r="A419" s="62" t="s">
        <v>241</v>
      </c>
      <c r="B419" s="62" t="s">
        <v>272</v>
      </c>
      <c r="C419" s="63" t="s">
        <v>3598</v>
      </c>
      <c r="D419" s="64">
        <v>5.2631578947368425</v>
      </c>
      <c r="E419" s="65" t="s">
        <v>136</v>
      </c>
      <c r="F419" s="66">
        <v>31.50943396226415</v>
      </c>
      <c r="G419" s="63"/>
      <c r="H419" s="67"/>
      <c r="I419" s="68"/>
      <c r="J419" s="68"/>
      <c r="K419" s="31" t="s">
        <v>65</v>
      </c>
      <c r="L419" s="76">
        <v>419</v>
      </c>
      <c r="M419" s="76"/>
      <c r="N419" s="70"/>
      <c r="O419" s="78" t="s">
        <v>305</v>
      </c>
      <c r="P419" s="78" t="s">
        <v>434</v>
      </c>
      <c r="Q419" s="78" t="s">
        <v>877</v>
      </c>
      <c r="R419" s="78" t="s">
        <v>867</v>
      </c>
      <c r="S419" s="78"/>
      <c r="T419" s="78"/>
      <c r="U419" s="78"/>
      <c r="V419" s="78"/>
      <c r="W419" s="81" t="s">
        <v>1674</v>
      </c>
      <c r="X419" s="81" t="s">
        <v>1674</v>
      </c>
      <c r="Y419" s="78"/>
      <c r="Z419" s="78"/>
      <c r="AA419" s="81" t="s">
        <v>1674</v>
      </c>
      <c r="AB419" s="79">
        <v>2</v>
      </c>
      <c r="AC419" s="80" t="str">
        <f>REPLACE(INDEX(GroupVertices[Group],MATCH("~"&amp;Edges[[#This Row],[Vertex 1]],GroupVertices[Vertex],0)),1,1,"")</f>
        <v>2</v>
      </c>
      <c r="AD419" s="80" t="str">
        <f>REPLACE(INDEX(GroupVertices[Group],MATCH("~"&amp;Edges[[#This Row],[Vertex 2]],GroupVertices[Vertex],0)),1,1,"")</f>
        <v>2</v>
      </c>
      <c r="AE419" s="105"/>
      <c r="AF419" s="105"/>
      <c r="AG419" s="105"/>
      <c r="AH419" s="105"/>
      <c r="AI419" s="105"/>
      <c r="AJ419" s="105"/>
      <c r="AK419" s="105"/>
      <c r="AL419" s="105"/>
      <c r="AM419" s="105"/>
    </row>
    <row r="420" spans="1:39" ht="15">
      <c r="A420" s="62" t="s">
        <v>254</v>
      </c>
      <c r="B420" s="62" t="s">
        <v>272</v>
      </c>
      <c r="C420" s="63" t="s">
        <v>3598</v>
      </c>
      <c r="D420" s="64">
        <v>5.2631578947368425</v>
      </c>
      <c r="E420" s="65" t="s">
        <v>136</v>
      </c>
      <c r="F420" s="66">
        <v>31.50943396226415</v>
      </c>
      <c r="G420" s="63"/>
      <c r="H420" s="67"/>
      <c r="I420" s="68"/>
      <c r="J420" s="68"/>
      <c r="K420" s="31" t="s">
        <v>65</v>
      </c>
      <c r="L420" s="76">
        <v>420</v>
      </c>
      <c r="M420" s="76"/>
      <c r="N420" s="70"/>
      <c r="O420" s="78" t="s">
        <v>305</v>
      </c>
      <c r="P420" s="78" t="s">
        <v>434</v>
      </c>
      <c r="Q420" s="78" t="s">
        <v>878</v>
      </c>
      <c r="R420" s="78" t="s">
        <v>866</v>
      </c>
      <c r="S420" s="78"/>
      <c r="T420" s="78"/>
      <c r="U420" s="78"/>
      <c r="V420" s="78"/>
      <c r="W420" s="81" t="s">
        <v>1674</v>
      </c>
      <c r="X420" s="81" t="s">
        <v>1674</v>
      </c>
      <c r="Y420" s="78"/>
      <c r="Z420" s="78"/>
      <c r="AA420" s="81" t="s">
        <v>1674</v>
      </c>
      <c r="AB420" s="79">
        <v>2</v>
      </c>
      <c r="AC420" s="80" t="str">
        <f>REPLACE(INDEX(GroupVertices[Group],MATCH("~"&amp;Edges[[#This Row],[Vertex 1]],GroupVertices[Vertex],0)),1,1,"")</f>
        <v>2</v>
      </c>
      <c r="AD420" s="80" t="str">
        <f>REPLACE(INDEX(GroupVertices[Group],MATCH("~"&amp;Edges[[#This Row],[Vertex 2]],GroupVertices[Vertex],0)),1,1,"")</f>
        <v>2</v>
      </c>
      <c r="AE420" s="105"/>
      <c r="AF420" s="105"/>
      <c r="AG420" s="105"/>
      <c r="AH420" s="105"/>
      <c r="AI420" s="105"/>
      <c r="AJ420" s="105"/>
      <c r="AK420" s="105"/>
      <c r="AL420" s="105"/>
      <c r="AM420" s="105"/>
    </row>
    <row r="421" spans="1:39" ht="15">
      <c r="A421" s="62" t="s">
        <v>254</v>
      </c>
      <c r="B421" s="62" t="s">
        <v>272</v>
      </c>
      <c r="C421" s="63" t="s">
        <v>3598</v>
      </c>
      <c r="D421" s="64">
        <v>5.2631578947368425</v>
      </c>
      <c r="E421" s="65" t="s">
        <v>136</v>
      </c>
      <c r="F421" s="66">
        <v>31.50943396226415</v>
      </c>
      <c r="G421" s="63"/>
      <c r="H421" s="67"/>
      <c r="I421" s="68"/>
      <c r="J421" s="68"/>
      <c r="K421" s="31" t="s">
        <v>65</v>
      </c>
      <c r="L421" s="76">
        <v>421</v>
      </c>
      <c r="M421" s="76"/>
      <c r="N421" s="70"/>
      <c r="O421" s="78" t="s">
        <v>305</v>
      </c>
      <c r="P421" s="78" t="s">
        <v>434</v>
      </c>
      <c r="Q421" s="78" t="s">
        <v>878</v>
      </c>
      <c r="R421" s="78" t="s">
        <v>867</v>
      </c>
      <c r="S421" s="78"/>
      <c r="T421" s="78"/>
      <c r="U421" s="78"/>
      <c r="V421" s="78"/>
      <c r="W421" s="81" t="s">
        <v>1674</v>
      </c>
      <c r="X421" s="81" t="s">
        <v>1674</v>
      </c>
      <c r="Y421" s="78"/>
      <c r="Z421" s="78"/>
      <c r="AA421" s="81" t="s">
        <v>1674</v>
      </c>
      <c r="AB421" s="79">
        <v>2</v>
      </c>
      <c r="AC421" s="80" t="str">
        <f>REPLACE(INDEX(GroupVertices[Group],MATCH("~"&amp;Edges[[#This Row],[Vertex 1]],GroupVertices[Vertex],0)),1,1,"")</f>
        <v>2</v>
      </c>
      <c r="AD421" s="80" t="str">
        <f>REPLACE(INDEX(GroupVertices[Group],MATCH("~"&amp;Edges[[#This Row],[Vertex 2]],GroupVertices[Vertex],0)),1,1,"")</f>
        <v>2</v>
      </c>
      <c r="AE421" s="105"/>
      <c r="AF421" s="105"/>
      <c r="AG421" s="105"/>
      <c r="AH421" s="105"/>
      <c r="AI421" s="105"/>
      <c r="AJ421" s="105"/>
      <c r="AK421" s="105"/>
      <c r="AL421" s="105"/>
      <c r="AM421" s="105"/>
    </row>
    <row r="422" spans="1:39" ht="15">
      <c r="A422" s="62" t="s">
        <v>269</v>
      </c>
      <c r="B422" s="62" t="s">
        <v>272</v>
      </c>
      <c r="C422" s="63" t="s">
        <v>3598</v>
      </c>
      <c r="D422" s="64">
        <v>5</v>
      </c>
      <c r="E422" s="65" t="s">
        <v>132</v>
      </c>
      <c r="F422" s="66">
        <v>32</v>
      </c>
      <c r="G422" s="63"/>
      <c r="H422" s="67"/>
      <c r="I422" s="68"/>
      <c r="J422" s="68"/>
      <c r="K422" s="31" t="s">
        <v>65</v>
      </c>
      <c r="L422" s="76">
        <v>422</v>
      </c>
      <c r="M422" s="76"/>
      <c r="N422" s="70"/>
      <c r="O422" s="78" t="s">
        <v>305</v>
      </c>
      <c r="P422" s="78" t="s">
        <v>435</v>
      </c>
      <c r="Q422" s="78" t="s">
        <v>879</v>
      </c>
      <c r="R422" s="78" t="s">
        <v>1407</v>
      </c>
      <c r="S422" s="78"/>
      <c r="T422" s="78"/>
      <c r="U422" s="78"/>
      <c r="V422" s="78"/>
      <c r="W422" s="81" t="s">
        <v>1674</v>
      </c>
      <c r="X422" s="81" t="s">
        <v>1674</v>
      </c>
      <c r="Y422" s="78"/>
      <c r="Z422" s="78"/>
      <c r="AA422" s="81" t="s">
        <v>1674</v>
      </c>
      <c r="AB422" s="79">
        <v>1</v>
      </c>
      <c r="AC422" s="80" t="str">
        <f>REPLACE(INDEX(GroupVertices[Group],MATCH("~"&amp;Edges[[#This Row],[Vertex 1]],GroupVertices[Vertex],0)),1,1,"")</f>
        <v>2</v>
      </c>
      <c r="AD422" s="80" t="str">
        <f>REPLACE(INDEX(GroupVertices[Group],MATCH("~"&amp;Edges[[#This Row],[Vertex 2]],GroupVertices[Vertex],0)),1,1,"")</f>
        <v>2</v>
      </c>
      <c r="AE422" s="105"/>
      <c r="AF422" s="105"/>
      <c r="AG422" s="105"/>
      <c r="AH422" s="105"/>
      <c r="AI422" s="105"/>
      <c r="AJ422" s="105"/>
      <c r="AK422" s="105"/>
      <c r="AL422" s="105"/>
      <c r="AM422" s="105"/>
    </row>
    <row r="423" spans="1:39" ht="15">
      <c r="A423" s="62" t="s">
        <v>235</v>
      </c>
      <c r="B423" s="62" t="s">
        <v>272</v>
      </c>
      <c r="C423" s="63" t="s">
        <v>3598</v>
      </c>
      <c r="D423" s="64">
        <v>5</v>
      </c>
      <c r="E423" s="65" t="s">
        <v>132</v>
      </c>
      <c r="F423" s="66">
        <v>32</v>
      </c>
      <c r="G423" s="63"/>
      <c r="H423" s="67"/>
      <c r="I423" s="68"/>
      <c r="J423" s="68"/>
      <c r="K423" s="31" t="s">
        <v>65</v>
      </c>
      <c r="L423" s="76">
        <v>423</v>
      </c>
      <c r="M423" s="76"/>
      <c r="N423" s="70"/>
      <c r="O423" s="78" t="s">
        <v>305</v>
      </c>
      <c r="P423" s="78" t="s">
        <v>436</v>
      </c>
      <c r="Q423" s="78" t="s">
        <v>880</v>
      </c>
      <c r="R423" s="78" t="s">
        <v>1408</v>
      </c>
      <c r="S423" s="78"/>
      <c r="T423" s="78"/>
      <c r="U423" s="78"/>
      <c r="V423" s="78"/>
      <c r="W423" s="81" t="s">
        <v>1674</v>
      </c>
      <c r="X423" s="81" t="s">
        <v>1674</v>
      </c>
      <c r="Y423" s="78"/>
      <c r="Z423" s="78"/>
      <c r="AA423" s="81" t="s">
        <v>1674</v>
      </c>
      <c r="AB423" s="79">
        <v>1</v>
      </c>
      <c r="AC423" s="80" t="str">
        <f>REPLACE(INDEX(GroupVertices[Group],MATCH("~"&amp;Edges[[#This Row],[Vertex 1]],GroupVertices[Vertex],0)),1,1,"")</f>
        <v>1</v>
      </c>
      <c r="AD423" s="80" t="str">
        <f>REPLACE(INDEX(GroupVertices[Group],MATCH("~"&amp;Edges[[#This Row],[Vertex 2]],GroupVertices[Vertex],0)),1,1,"")</f>
        <v>2</v>
      </c>
      <c r="AE423" s="105"/>
      <c r="AF423" s="105"/>
      <c r="AG423" s="105"/>
      <c r="AH423" s="105"/>
      <c r="AI423" s="105"/>
      <c r="AJ423" s="105"/>
      <c r="AK423" s="105"/>
      <c r="AL423" s="105"/>
      <c r="AM423" s="105"/>
    </row>
    <row r="424" spans="1:39" ht="15">
      <c r="A424" s="62" t="s">
        <v>247</v>
      </c>
      <c r="B424" s="62" t="s">
        <v>272</v>
      </c>
      <c r="C424" s="63" t="s">
        <v>3598</v>
      </c>
      <c r="D424" s="64">
        <v>5.2631578947368425</v>
      </c>
      <c r="E424" s="65" t="s">
        <v>136</v>
      </c>
      <c r="F424" s="66">
        <v>31.50943396226415</v>
      </c>
      <c r="G424" s="63"/>
      <c r="H424" s="67"/>
      <c r="I424" s="68"/>
      <c r="J424" s="68"/>
      <c r="K424" s="31" t="s">
        <v>65</v>
      </c>
      <c r="L424" s="76">
        <v>424</v>
      </c>
      <c r="M424" s="76"/>
      <c r="N424" s="70"/>
      <c r="O424" s="78" t="s">
        <v>305</v>
      </c>
      <c r="P424" s="78" t="s">
        <v>437</v>
      </c>
      <c r="Q424" s="78" t="s">
        <v>881</v>
      </c>
      <c r="R424" s="78" t="s">
        <v>1409</v>
      </c>
      <c r="S424" s="78"/>
      <c r="T424" s="78"/>
      <c r="U424" s="78"/>
      <c r="V424" s="78"/>
      <c r="W424" s="81" t="s">
        <v>1674</v>
      </c>
      <c r="X424" s="81" t="s">
        <v>1674</v>
      </c>
      <c r="Y424" s="78"/>
      <c r="Z424" s="78"/>
      <c r="AA424" s="81" t="s">
        <v>1674</v>
      </c>
      <c r="AB424" s="79">
        <v>2</v>
      </c>
      <c r="AC424" s="80" t="str">
        <f>REPLACE(INDEX(GroupVertices[Group],MATCH("~"&amp;Edges[[#This Row],[Vertex 1]],GroupVertices[Vertex],0)),1,1,"")</f>
        <v>2</v>
      </c>
      <c r="AD424" s="80" t="str">
        <f>REPLACE(INDEX(GroupVertices[Group],MATCH("~"&amp;Edges[[#This Row],[Vertex 2]],GroupVertices[Vertex],0)),1,1,"")</f>
        <v>2</v>
      </c>
      <c r="AE424" s="105"/>
      <c r="AF424" s="105"/>
      <c r="AG424" s="105"/>
      <c r="AH424" s="105"/>
      <c r="AI424" s="105"/>
      <c r="AJ424" s="105"/>
      <c r="AK424" s="105"/>
      <c r="AL424" s="105"/>
      <c r="AM424" s="105"/>
    </row>
    <row r="425" spans="1:39" ht="15">
      <c r="A425" s="62" t="s">
        <v>247</v>
      </c>
      <c r="B425" s="62" t="s">
        <v>272</v>
      </c>
      <c r="C425" s="63" t="s">
        <v>3598</v>
      </c>
      <c r="D425" s="64">
        <v>5.2631578947368425</v>
      </c>
      <c r="E425" s="65" t="s">
        <v>136</v>
      </c>
      <c r="F425" s="66">
        <v>31.50943396226415</v>
      </c>
      <c r="G425" s="63"/>
      <c r="H425" s="67"/>
      <c r="I425" s="68"/>
      <c r="J425" s="68"/>
      <c r="K425" s="31" t="s">
        <v>65</v>
      </c>
      <c r="L425" s="76">
        <v>425</v>
      </c>
      <c r="M425" s="76"/>
      <c r="N425" s="70"/>
      <c r="O425" s="78" t="s">
        <v>305</v>
      </c>
      <c r="P425" s="78" t="s">
        <v>437</v>
      </c>
      <c r="Q425" s="78" t="s">
        <v>881</v>
      </c>
      <c r="R425" s="78" t="s">
        <v>1410</v>
      </c>
      <c r="S425" s="78"/>
      <c r="T425" s="78"/>
      <c r="U425" s="78"/>
      <c r="V425" s="78"/>
      <c r="W425" s="81" t="s">
        <v>1674</v>
      </c>
      <c r="X425" s="81" t="s">
        <v>1674</v>
      </c>
      <c r="Y425" s="78"/>
      <c r="Z425" s="78"/>
      <c r="AA425" s="81" t="s">
        <v>1674</v>
      </c>
      <c r="AB425" s="79">
        <v>2</v>
      </c>
      <c r="AC425" s="80" t="str">
        <f>REPLACE(INDEX(GroupVertices[Group],MATCH("~"&amp;Edges[[#This Row],[Vertex 1]],GroupVertices[Vertex],0)),1,1,"")</f>
        <v>2</v>
      </c>
      <c r="AD425" s="80" t="str">
        <f>REPLACE(INDEX(GroupVertices[Group],MATCH("~"&amp;Edges[[#This Row],[Vertex 2]],GroupVertices[Vertex],0)),1,1,"")</f>
        <v>2</v>
      </c>
      <c r="AE425" s="105"/>
      <c r="AF425" s="105"/>
      <c r="AG425" s="105"/>
      <c r="AH425" s="105"/>
      <c r="AI425" s="105"/>
      <c r="AJ425" s="105"/>
      <c r="AK425" s="105"/>
      <c r="AL425" s="105"/>
      <c r="AM425" s="105"/>
    </row>
    <row r="426" spans="1:39" ht="15">
      <c r="A426" s="62" t="s">
        <v>273</v>
      </c>
      <c r="B426" s="62" t="s">
        <v>272</v>
      </c>
      <c r="C426" s="63" t="s">
        <v>3598</v>
      </c>
      <c r="D426" s="64">
        <v>5.2631578947368425</v>
      </c>
      <c r="E426" s="65" t="s">
        <v>136</v>
      </c>
      <c r="F426" s="66">
        <v>31.50943396226415</v>
      </c>
      <c r="G426" s="63"/>
      <c r="H426" s="67"/>
      <c r="I426" s="68"/>
      <c r="J426" s="68"/>
      <c r="K426" s="31" t="s">
        <v>65</v>
      </c>
      <c r="L426" s="76">
        <v>426</v>
      </c>
      <c r="M426" s="76"/>
      <c r="N426" s="70"/>
      <c r="O426" s="78" t="s">
        <v>305</v>
      </c>
      <c r="P426" s="78" t="s">
        <v>436</v>
      </c>
      <c r="Q426" s="78" t="s">
        <v>882</v>
      </c>
      <c r="R426" s="78" t="s">
        <v>1408</v>
      </c>
      <c r="S426" s="78"/>
      <c r="T426" s="78"/>
      <c r="U426" s="78"/>
      <c r="V426" s="78"/>
      <c r="W426" s="81" t="s">
        <v>1674</v>
      </c>
      <c r="X426" s="81" t="s">
        <v>1674</v>
      </c>
      <c r="Y426" s="78"/>
      <c r="Z426" s="78"/>
      <c r="AA426" s="81" t="s">
        <v>1674</v>
      </c>
      <c r="AB426" s="79">
        <v>2</v>
      </c>
      <c r="AC426" s="80" t="str">
        <f>REPLACE(INDEX(GroupVertices[Group],MATCH("~"&amp;Edges[[#This Row],[Vertex 1]],GroupVertices[Vertex],0)),1,1,"")</f>
        <v>6</v>
      </c>
      <c r="AD426" s="80" t="str">
        <f>REPLACE(INDEX(GroupVertices[Group],MATCH("~"&amp;Edges[[#This Row],[Vertex 2]],GroupVertices[Vertex],0)),1,1,"")</f>
        <v>2</v>
      </c>
      <c r="AE426" s="105"/>
      <c r="AF426" s="105"/>
      <c r="AG426" s="105"/>
      <c r="AH426" s="105"/>
      <c r="AI426" s="105"/>
      <c r="AJ426" s="105"/>
      <c r="AK426" s="105"/>
      <c r="AL426" s="105"/>
      <c r="AM426" s="105"/>
    </row>
    <row r="427" spans="1:39" ht="15">
      <c r="A427" s="62" t="s">
        <v>273</v>
      </c>
      <c r="B427" s="62" t="s">
        <v>272</v>
      </c>
      <c r="C427" s="63" t="s">
        <v>3598</v>
      </c>
      <c r="D427" s="64">
        <v>5.2631578947368425</v>
      </c>
      <c r="E427" s="65" t="s">
        <v>136</v>
      </c>
      <c r="F427" s="66">
        <v>31.50943396226415</v>
      </c>
      <c r="G427" s="63"/>
      <c r="H427" s="67"/>
      <c r="I427" s="68"/>
      <c r="J427" s="68"/>
      <c r="K427" s="31" t="s">
        <v>65</v>
      </c>
      <c r="L427" s="76">
        <v>427</v>
      </c>
      <c r="M427" s="76"/>
      <c r="N427" s="70"/>
      <c r="O427" s="78" t="s">
        <v>305</v>
      </c>
      <c r="P427" s="78" t="s">
        <v>436</v>
      </c>
      <c r="Q427" s="78" t="s">
        <v>883</v>
      </c>
      <c r="R427" s="78" t="s">
        <v>1408</v>
      </c>
      <c r="S427" s="78"/>
      <c r="T427" s="78"/>
      <c r="U427" s="78"/>
      <c r="V427" s="78"/>
      <c r="W427" s="81" t="s">
        <v>1674</v>
      </c>
      <c r="X427" s="81" t="s">
        <v>1674</v>
      </c>
      <c r="Y427" s="78"/>
      <c r="Z427" s="78"/>
      <c r="AA427" s="81" t="s">
        <v>1674</v>
      </c>
      <c r="AB427" s="79">
        <v>2</v>
      </c>
      <c r="AC427" s="80" t="str">
        <f>REPLACE(INDEX(GroupVertices[Group],MATCH("~"&amp;Edges[[#This Row],[Vertex 1]],GroupVertices[Vertex],0)),1,1,"")</f>
        <v>6</v>
      </c>
      <c r="AD427" s="80" t="str">
        <f>REPLACE(INDEX(GroupVertices[Group],MATCH("~"&amp;Edges[[#This Row],[Vertex 2]],GroupVertices[Vertex],0)),1,1,"")</f>
        <v>2</v>
      </c>
      <c r="AE427" s="105"/>
      <c r="AF427" s="105"/>
      <c r="AG427" s="105"/>
      <c r="AH427" s="105"/>
      <c r="AI427" s="105"/>
      <c r="AJ427" s="105"/>
      <c r="AK427" s="105"/>
      <c r="AL427" s="105"/>
      <c r="AM427" s="105"/>
    </row>
    <row r="428" spans="1:39" ht="15">
      <c r="A428" s="62" t="s">
        <v>274</v>
      </c>
      <c r="B428" s="62" t="s">
        <v>241</v>
      </c>
      <c r="C428" s="63" t="s">
        <v>3598</v>
      </c>
      <c r="D428" s="64">
        <v>5</v>
      </c>
      <c r="E428" s="65" t="s">
        <v>132</v>
      </c>
      <c r="F428" s="66">
        <v>32</v>
      </c>
      <c r="G428" s="63"/>
      <c r="H428" s="67"/>
      <c r="I428" s="68"/>
      <c r="J428" s="68"/>
      <c r="K428" s="31" t="s">
        <v>65</v>
      </c>
      <c r="L428" s="76">
        <v>428</v>
      </c>
      <c r="M428" s="76"/>
      <c r="N428" s="70"/>
      <c r="O428" s="78" t="s">
        <v>305</v>
      </c>
      <c r="P428" s="78" t="s">
        <v>438</v>
      </c>
      <c r="Q428" s="78" t="s">
        <v>884</v>
      </c>
      <c r="R428" s="78" t="s">
        <v>1411</v>
      </c>
      <c r="S428" s="78"/>
      <c r="T428" s="78"/>
      <c r="U428" s="78"/>
      <c r="V428" s="78"/>
      <c r="W428" s="81" t="s">
        <v>1674</v>
      </c>
      <c r="X428" s="81" t="s">
        <v>1674</v>
      </c>
      <c r="Y428" s="78"/>
      <c r="Z428" s="78"/>
      <c r="AA428" s="81" t="s">
        <v>1674</v>
      </c>
      <c r="AB428" s="79">
        <v>1</v>
      </c>
      <c r="AC428" s="80" t="str">
        <f>REPLACE(INDEX(GroupVertices[Group],MATCH("~"&amp;Edges[[#This Row],[Vertex 1]],GroupVertices[Vertex],0)),1,1,"")</f>
        <v>6</v>
      </c>
      <c r="AD428" s="80" t="str">
        <f>REPLACE(INDEX(GroupVertices[Group],MATCH("~"&amp;Edges[[#This Row],[Vertex 2]],GroupVertices[Vertex],0)),1,1,"")</f>
        <v>2</v>
      </c>
      <c r="AE428" s="105"/>
      <c r="AF428" s="105"/>
      <c r="AG428" s="105"/>
      <c r="AH428" s="105"/>
      <c r="AI428" s="105"/>
      <c r="AJ428" s="105"/>
      <c r="AK428" s="105"/>
      <c r="AL428" s="105"/>
      <c r="AM428" s="105"/>
    </row>
    <row r="429" spans="1:39" ht="15">
      <c r="A429" s="62" t="s">
        <v>246</v>
      </c>
      <c r="B429" s="62" t="s">
        <v>274</v>
      </c>
      <c r="C429" s="63" t="s">
        <v>3598</v>
      </c>
      <c r="D429" s="64">
        <v>5.2631578947368425</v>
      </c>
      <c r="E429" s="65" t="s">
        <v>136</v>
      </c>
      <c r="F429" s="66">
        <v>31.50943396226415</v>
      </c>
      <c r="G429" s="63"/>
      <c r="H429" s="67"/>
      <c r="I429" s="68"/>
      <c r="J429" s="68"/>
      <c r="K429" s="31" t="s">
        <v>65</v>
      </c>
      <c r="L429" s="76">
        <v>429</v>
      </c>
      <c r="M429" s="76"/>
      <c r="N429" s="70"/>
      <c r="O429" s="78" t="s">
        <v>305</v>
      </c>
      <c r="P429" s="78" t="s">
        <v>439</v>
      </c>
      <c r="Q429" s="78" t="s">
        <v>885</v>
      </c>
      <c r="R429" s="78" t="s">
        <v>1412</v>
      </c>
      <c r="S429" s="78"/>
      <c r="T429" s="78"/>
      <c r="U429" s="78"/>
      <c r="V429" s="78"/>
      <c r="W429" s="81" t="s">
        <v>1674</v>
      </c>
      <c r="X429" s="81" t="s">
        <v>1674</v>
      </c>
      <c r="Y429" s="78"/>
      <c r="Z429" s="78"/>
      <c r="AA429" s="81" t="s">
        <v>1674</v>
      </c>
      <c r="AB429" s="79">
        <v>2</v>
      </c>
      <c r="AC429" s="80" t="str">
        <f>REPLACE(INDEX(GroupVertices[Group],MATCH("~"&amp;Edges[[#This Row],[Vertex 1]],GroupVertices[Vertex],0)),1,1,"")</f>
        <v>3</v>
      </c>
      <c r="AD429" s="80" t="str">
        <f>REPLACE(INDEX(GroupVertices[Group],MATCH("~"&amp;Edges[[#This Row],[Vertex 2]],GroupVertices[Vertex],0)),1,1,"")</f>
        <v>6</v>
      </c>
      <c r="AE429" s="105"/>
      <c r="AF429" s="105"/>
      <c r="AG429" s="105"/>
      <c r="AH429" s="105"/>
      <c r="AI429" s="105"/>
      <c r="AJ429" s="105"/>
      <c r="AK429" s="105"/>
      <c r="AL429" s="105"/>
      <c r="AM429" s="105"/>
    </row>
    <row r="430" spans="1:39" ht="15">
      <c r="A430" s="62" t="s">
        <v>246</v>
      </c>
      <c r="B430" s="62" t="s">
        <v>274</v>
      </c>
      <c r="C430" s="63" t="s">
        <v>3598</v>
      </c>
      <c r="D430" s="64">
        <v>5.2631578947368425</v>
      </c>
      <c r="E430" s="65" t="s">
        <v>136</v>
      </c>
      <c r="F430" s="66">
        <v>31.50943396226415</v>
      </c>
      <c r="G430" s="63"/>
      <c r="H430" s="67"/>
      <c r="I430" s="68"/>
      <c r="J430" s="68"/>
      <c r="K430" s="31" t="s">
        <v>65</v>
      </c>
      <c r="L430" s="76">
        <v>430</v>
      </c>
      <c r="M430" s="76"/>
      <c r="N430" s="70"/>
      <c r="O430" s="78" t="s">
        <v>305</v>
      </c>
      <c r="P430" s="78" t="s">
        <v>439</v>
      </c>
      <c r="Q430" s="78" t="s">
        <v>885</v>
      </c>
      <c r="R430" s="78" t="s">
        <v>1413</v>
      </c>
      <c r="S430" s="78"/>
      <c r="T430" s="78"/>
      <c r="U430" s="78"/>
      <c r="V430" s="78"/>
      <c r="W430" s="81" t="s">
        <v>1674</v>
      </c>
      <c r="X430" s="81" t="s">
        <v>1674</v>
      </c>
      <c r="Y430" s="78"/>
      <c r="Z430" s="78"/>
      <c r="AA430" s="81" t="s">
        <v>1674</v>
      </c>
      <c r="AB430" s="79">
        <v>2</v>
      </c>
      <c r="AC430" s="80" t="str">
        <f>REPLACE(INDEX(GroupVertices[Group],MATCH("~"&amp;Edges[[#This Row],[Vertex 1]],GroupVertices[Vertex],0)),1,1,"")</f>
        <v>3</v>
      </c>
      <c r="AD430" s="80" t="str">
        <f>REPLACE(INDEX(GroupVertices[Group],MATCH("~"&amp;Edges[[#This Row],[Vertex 2]],GroupVertices[Vertex],0)),1,1,"")</f>
        <v>6</v>
      </c>
      <c r="AE430" s="105"/>
      <c r="AF430" s="105"/>
      <c r="AG430" s="105"/>
      <c r="AH430" s="105"/>
      <c r="AI430" s="105"/>
      <c r="AJ430" s="105"/>
      <c r="AK430" s="105"/>
      <c r="AL430" s="105"/>
      <c r="AM430" s="105"/>
    </row>
    <row r="431" spans="1:39" ht="15">
      <c r="A431" s="62" t="s">
        <v>273</v>
      </c>
      <c r="B431" s="62" t="s">
        <v>274</v>
      </c>
      <c r="C431" s="63" t="s">
        <v>3598</v>
      </c>
      <c r="D431" s="64">
        <v>5</v>
      </c>
      <c r="E431" s="65" t="s">
        <v>132</v>
      </c>
      <c r="F431" s="66">
        <v>32</v>
      </c>
      <c r="G431" s="63"/>
      <c r="H431" s="67"/>
      <c r="I431" s="68"/>
      <c r="J431" s="68"/>
      <c r="K431" s="31" t="s">
        <v>65</v>
      </c>
      <c r="L431" s="76">
        <v>431</v>
      </c>
      <c r="M431" s="76"/>
      <c r="N431" s="70"/>
      <c r="O431" s="78" t="s">
        <v>305</v>
      </c>
      <c r="P431" s="78" t="s">
        <v>440</v>
      </c>
      <c r="Q431" s="78" t="s">
        <v>886</v>
      </c>
      <c r="R431" s="78" t="s">
        <v>1414</v>
      </c>
      <c r="S431" s="78"/>
      <c r="T431" s="78"/>
      <c r="U431" s="78"/>
      <c r="V431" s="78"/>
      <c r="W431" s="81" t="s">
        <v>1674</v>
      </c>
      <c r="X431" s="81" t="s">
        <v>1674</v>
      </c>
      <c r="Y431" s="78"/>
      <c r="Z431" s="78"/>
      <c r="AA431" s="81" t="s">
        <v>1674</v>
      </c>
      <c r="AB431" s="79">
        <v>1</v>
      </c>
      <c r="AC431" s="80" t="str">
        <f>REPLACE(INDEX(GroupVertices[Group],MATCH("~"&amp;Edges[[#This Row],[Vertex 1]],GroupVertices[Vertex],0)),1,1,"")</f>
        <v>6</v>
      </c>
      <c r="AD431" s="80" t="str">
        <f>REPLACE(INDEX(GroupVertices[Group],MATCH("~"&amp;Edges[[#This Row],[Vertex 2]],GroupVertices[Vertex],0)),1,1,"")</f>
        <v>6</v>
      </c>
      <c r="AE431" s="105"/>
      <c r="AF431" s="105"/>
      <c r="AG431" s="105"/>
      <c r="AH431" s="105"/>
      <c r="AI431" s="105"/>
      <c r="AJ431" s="105"/>
      <c r="AK431" s="105"/>
      <c r="AL431" s="105"/>
      <c r="AM431" s="105"/>
    </row>
    <row r="432" spans="1:39" ht="15">
      <c r="A432" s="62" t="s">
        <v>273</v>
      </c>
      <c r="B432" s="62" t="s">
        <v>301</v>
      </c>
      <c r="C432" s="63" t="s">
        <v>3598</v>
      </c>
      <c r="D432" s="64">
        <v>5</v>
      </c>
      <c r="E432" s="65" t="s">
        <v>132</v>
      </c>
      <c r="F432" s="66">
        <v>32</v>
      </c>
      <c r="G432" s="63"/>
      <c r="H432" s="67"/>
      <c r="I432" s="68"/>
      <c r="J432" s="68"/>
      <c r="K432" s="31" t="s">
        <v>65</v>
      </c>
      <c r="L432" s="76">
        <v>432</v>
      </c>
      <c r="M432" s="76"/>
      <c r="N432" s="70"/>
      <c r="O432" s="78" t="s">
        <v>305</v>
      </c>
      <c r="P432" s="78" t="s">
        <v>441</v>
      </c>
      <c r="Q432" s="78" t="s">
        <v>887</v>
      </c>
      <c r="R432" s="78" t="s">
        <v>1415</v>
      </c>
      <c r="S432" s="78"/>
      <c r="T432" s="78"/>
      <c r="U432" s="78"/>
      <c r="V432" s="78"/>
      <c r="W432" s="81" t="s">
        <v>1674</v>
      </c>
      <c r="X432" s="81" t="s">
        <v>1674</v>
      </c>
      <c r="Y432" s="78"/>
      <c r="Z432" s="78"/>
      <c r="AA432" s="81" t="s">
        <v>1674</v>
      </c>
      <c r="AB432" s="79">
        <v>1</v>
      </c>
      <c r="AC432" s="80" t="str">
        <f>REPLACE(INDEX(GroupVertices[Group],MATCH("~"&amp;Edges[[#This Row],[Vertex 1]],GroupVertices[Vertex],0)),1,1,"")</f>
        <v>6</v>
      </c>
      <c r="AD432" s="80" t="str">
        <f>REPLACE(INDEX(GroupVertices[Group],MATCH("~"&amp;Edges[[#This Row],[Vertex 2]],GroupVertices[Vertex],0)),1,1,"")</f>
        <v>6</v>
      </c>
      <c r="AE432" s="105"/>
      <c r="AF432" s="105"/>
      <c r="AG432" s="105"/>
      <c r="AH432" s="105"/>
      <c r="AI432" s="105"/>
      <c r="AJ432" s="105"/>
      <c r="AK432" s="105"/>
      <c r="AL432" s="105"/>
      <c r="AM432" s="105"/>
    </row>
    <row r="433" spans="1:39" ht="15">
      <c r="A433" s="62" t="s">
        <v>275</v>
      </c>
      <c r="B433" s="62" t="s">
        <v>298</v>
      </c>
      <c r="C433" s="63" t="s">
        <v>3598</v>
      </c>
      <c r="D433" s="64">
        <v>5</v>
      </c>
      <c r="E433" s="65" t="s">
        <v>132</v>
      </c>
      <c r="F433" s="66">
        <v>32</v>
      </c>
      <c r="G433" s="63"/>
      <c r="H433" s="67"/>
      <c r="I433" s="68"/>
      <c r="J433" s="68"/>
      <c r="K433" s="31" t="s">
        <v>65</v>
      </c>
      <c r="L433" s="76">
        <v>433</v>
      </c>
      <c r="M433" s="76"/>
      <c r="N433" s="70"/>
      <c r="O433" s="78" t="s">
        <v>305</v>
      </c>
      <c r="P433" s="78" t="s">
        <v>442</v>
      </c>
      <c r="Q433" s="78" t="s">
        <v>888</v>
      </c>
      <c r="R433" s="78" t="s">
        <v>1416</v>
      </c>
      <c r="S433" s="78" t="s">
        <v>1651</v>
      </c>
      <c r="T433" s="78" t="s">
        <v>1663</v>
      </c>
      <c r="U433" s="78" t="s">
        <v>1670</v>
      </c>
      <c r="V433" s="78" t="s">
        <v>1672</v>
      </c>
      <c r="W433" s="81" t="s">
        <v>1674</v>
      </c>
      <c r="X433" s="81" t="s">
        <v>1674</v>
      </c>
      <c r="Y433" s="78" t="s">
        <v>1687</v>
      </c>
      <c r="Z433" s="78" t="s">
        <v>1711</v>
      </c>
      <c r="AA433" s="81" t="s">
        <v>1674</v>
      </c>
      <c r="AB433" s="79">
        <v>1</v>
      </c>
      <c r="AC433" s="80" t="str">
        <f>REPLACE(INDEX(GroupVertices[Group],MATCH("~"&amp;Edges[[#This Row],[Vertex 1]],GroupVertices[Vertex],0)),1,1,"")</f>
        <v>1</v>
      </c>
      <c r="AD433" s="80" t="str">
        <f>REPLACE(INDEX(GroupVertices[Group],MATCH("~"&amp;Edges[[#This Row],[Vertex 2]],GroupVertices[Vertex],0)),1,1,"")</f>
        <v>5</v>
      </c>
      <c r="AE433" s="105"/>
      <c r="AF433" s="105"/>
      <c r="AG433" s="105"/>
      <c r="AH433" s="105"/>
      <c r="AI433" s="105"/>
      <c r="AJ433" s="105"/>
      <c r="AK433" s="105"/>
      <c r="AL433" s="105"/>
      <c r="AM433" s="105"/>
    </row>
    <row r="434" spans="1:39" ht="15">
      <c r="A434" s="62" t="s">
        <v>275</v>
      </c>
      <c r="B434" s="62" t="s">
        <v>242</v>
      </c>
      <c r="C434" s="63" t="s">
        <v>3598</v>
      </c>
      <c r="D434" s="64">
        <v>5</v>
      </c>
      <c r="E434" s="65" t="s">
        <v>132</v>
      </c>
      <c r="F434" s="66">
        <v>32</v>
      </c>
      <c r="G434" s="63"/>
      <c r="H434" s="67"/>
      <c r="I434" s="68"/>
      <c r="J434" s="68"/>
      <c r="K434" s="31" t="s">
        <v>65</v>
      </c>
      <c r="L434" s="76">
        <v>434</v>
      </c>
      <c r="M434" s="76"/>
      <c r="N434" s="70"/>
      <c r="O434" s="78" t="s">
        <v>305</v>
      </c>
      <c r="P434" s="78" t="s">
        <v>443</v>
      </c>
      <c r="Q434" s="78" t="s">
        <v>889</v>
      </c>
      <c r="R434" s="78" t="s">
        <v>1417</v>
      </c>
      <c r="S434" s="78"/>
      <c r="T434" s="78"/>
      <c r="U434" s="78"/>
      <c r="V434" s="78"/>
      <c r="W434" s="81" t="s">
        <v>1674</v>
      </c>
      <c r="X434" s="81" t="s">
        <v>1674</v>
      </c>
      <c r="Y434" s="78"/>
      <c r="Z434" s="78"/>
      <c r="AA434" s="81" t="s">
        <v>1674</v>
      </c>
      <c r="AB434" s="79">
        <v>1</v>
      </c>
      <c r="AC434" s="80" t="str">
        <f>REPLACE(INDEX(GroupVertices[Group],MATCH("~"&amp;Edges[[#This Row],[Vertex 1]],GroupVertices[Vertex],0)),1,1,"")</f>
        <v>1</v>
      </c>
      <c r="AD434" s="80" t="str">
        <f>REPLACE(INDEX(GroupVertices[Group],MATCH("~"&amp;Edges[[#This Row],[Vertex 2]],GroupVertices[Vertex],0)),1,1,"")</f>
        <v>5</v>
      </c>
      <c r="AE434" s="105"/>
      <c r="AF434" s="105"/>
      <c r="AG434" s="105"/>
      <c r="AH434" s="105"/>
      <c r="AI434" s="105"/>
      <c r="AJ434" s="105"/>
      <c r="AK434" s="105"/>
      <c r="AL434" s="105"/>
      <c r="AM434" s="105"/>
    </row>
    <row r="435" spans="1:39" ht="15">
      <c r="A435" s="62" t="s">
        <v>275</v>
      </c>
      <c r="B435" s="62" t="s">
        <v>256</v>
      </c>
      <c r="C435" s="63" t="s">
        <v>3598</v>
      </c>
      <c r="D435" s="64">
        <v>5</v>
      </c>
      <c r="E435" s="65" t="s">
        <v>132</v>
      </c>
      <c r="F435" s="66">
        <v>32</v>
      </c>
      <c r="G435" s="63"/>
      <c r="H435" s="67"/>
      <c r="I435" s="68"/>
      <c r="J435" s="68"/>
      <c r="K435" s="31" t="s">
        <v>65</v>
      </c>
      <c r="L435" s="76">
        <v>435</v>
      </c>
      <c r="M435" s="76"/>
      <c r="N435" s="70"/>
      <c r="O435" s="78" t="s">
        <v>305</v>
      </c>
      <c r="P435" s="78" t="s">
        <v>444</v>
      </c>
      <c r="Q435" s="78" t="s">
        <v>890</v>
      </c>
      <c r="R435" s="78" t="s">
        <v>1418</v>
      </c>
      <c r="S435" s="78"/>
      <c r="T435" s="78"/>
      <c r="U435" s="78"/>
      <c r="V435" s="78"/>
      <c r="W435" s="81" t="s">
        <v>1674</v>
      </c>
      <c r="X435" s="81" t="s">
        <v>1674</v>
      </c>
      <c r="Y435" s="78"/>
      <c r="Z435" s="78"/>
      <c r="AA435" s="81" t="s">
        <v>1674</v>
      </c>
      <c r="AB435" s="79">
        <v>1</v>
      </c>
      <c r="AC435" s="80" t="str">
        <f>REPLACE(INDEX(GroupVertices[Group],MATCH("~"&amp;Edges[[#This Row],[Vertex 1]],GroupVertices[Vertex],0)),1,1,"")</f>
        <v>1</v>
      </c>
      <c r="AD435" s="80" t="str">
        <f>REPLACE(INDEX(GroupVertices[Group],MATCH("~"&amp;Edges[[#This Row],[Vertex 2]],GroupVertices[Vertex],0)),1,1,"")</f>
        <v>1</v>
      </c>
      <c r="AE435" s="105"/>
      <c r="AF435" s="105"/>
      <c r="AG435" s="105"/>
      <c r="AH435" s="105"/>
      <c r="AI435" s="105"/>
      <c r="AJ435" s="105"/>
      <c r="AK435" s="105"/>
      <c r="AL435" s="105"/>
      <c r="AM435" s="105"/>
    </row>
    <row r="436" spans="1:39" ht="15">
      <c r="A436" s="62" t="s">
        <v>275</v>
      </c>
      <c r="B436" s="62" t="s">
        <v>246</v>
      </c>
      <c r="C436" s="63" t="s">
        <v>3598</v>
      </c>
      <c r="D436" s="64">
        <v>5</v>
      </c>
      <c r="E436" s="65" t="s">
        <v>132</v>
      </c>
      <c r="F436" s="66">
        <v>32</v>
      </c>
      <c r="G436" s="63"/>
      <c r="H436" s="67"/>
      <c r="I436" s="68"/>
      <c r="J436" s="68"/>
      <c r="K436" s="31" t="s">
        <v>65</v>
      </c>
      <c r="L436" s="76">
        <v>436</v>
      </c>
      <c r="M436" s="76"/>
      <c r="N436" s="70"/>
      <c r="O436" s="78" t="s">
        <v>305</v>
      </c>
      <c r="P436" s="78" t="s">
        <v>445</v>
      </c>
      <c r="Q436" s="78" t="s">
        <v>891</v>
      </c>
      <c r="R436" s="78" t="s">
        <v>1419</v>
      </c>
      <c r="S436" s="78"/>
      <c r="T436" s="78"/>
      <c r="U436" s="78"/>
      <c r="V436" s="78"/>
      <c r="W436" s="81" t="s">
        <v>1674</v>
      </c>
      <c r="X436" s="81" t="s">
        <v>1674</v>
      </c>
      <c r="Y436" s="78"/>
      <c r="Z436" s="78"/>
      <c r="AA436" s="81" t="s">
        <v>1674</v>
      </c>
      <c r="AB436" s="79">
        <v>1</v>
      </c>
      <c r="AC436" s="80" t="str">
        <f>REPLACE(INDEX(GroupVertices[Group],MATCH("~"&amp;Edges[[#This Row],[Vertex 1]],GroupVertices[Vertex],0)),1,1,"")</f>
        <v>1</v>
      </c>
      <c r="AD436" s="80" t="str">
        <f>REPLACE(INDEX(GroupVertices[Group],MATCH("~"&amp;Edges[[#This Row],[Vertex 2]],GroupVertices[Vertex],0)),1,1,"")</f>
        <v>3</v>
      </c>
      <c r="AE436" s="105"/>
      <c r="AF436" s="105"/>
      <c r="AG436" s="105"/>
      <c r="AH436" s="105"/>
      <c r="AI436" s="105"/>
      <c r="AJ436" s="105"/>
      <c r="AK436" s="105"/>
      <c r="AL436" s="105"/>
      <c r="AM436" s="105"/>
    </row>
    <row r="437" spans="1:39" ht="15">
      <c r="A437" s="62" t="s">
        <v>275</v>
      </c>
      <c r="B437" s="62" t="s">
        <v>228</v>
      </c>
      <c r="C437" s="63" t="s">
        <v>3598</v>
      </c>
      <c r="D437" s="64">
        <v>5</v>
      </c>
      <c r="E437" s="65" t="s">
        <v>132</v>
      </c>
      <c r="F437" s="66">
        <v>32</v>
      </c>
      <c r="G437" s="63"/>
      <c r="H437" s="67"/>
      <c r="I437" s="68"/>
      <c r="J437" s="68"/>
      <c r="K437" s="31" t="s">
        <v>65</v>
      </c>
      <c r="L437" s="76">
        <v>437</v>
      </c>
      <c r="M437" s="76"/>
      <c r="N437" s="70"/>
      <c r="O437" s="78" t="s">
        <v>305</v>
      </c>
      <c r="P437" s="78" t="s">
        <v>443</v>
      </c>
      <c r="Q437" s="78" t="s">
        <v>889</v>
      </c>
      <c r="R437" s="78" t="s">
        <v>947</v>
      </c>
      <c r="S437" s="78"/>
      <c r="T437" s="78"/>
      <c r="U437" s="78"/>
      <c r="V437" s="78"/>
      <c r="W437" s="81" t="s">
        <v>1674</v>
      </c>
      <c r="X437" s="81" t="s">
        <v>1674</v>
      </c>
      <c r="Y437" s="78"/>
      <c r="Z437" s="78"/>
      <c r="AA437" s="81" t="s">
        <v>1674</v>
      </c>
      <c r="AB437" s="79">
        <v>1</v>
      </c>
      <c r="AC437" s="80" t="str">
        <f>REPLACE(INDEX(GroupVertices[Group],MATCH("~"&amp;Edges[[#This Row],[Vertex 1]],GroupVertices[Vertex],0)),1,1,"")</f>
        <v>1</v>
      </c>
      <c r="AD437" s="80" t="str">
        <f>REPLACE(INDEX(GroupVertices[Group],MATCH("~"&amp;Edges[[#This Row],[Vertex 2]],GroupVertices[Vertex],0)),1,1,"")</f>
        <v>1</v>
      </c>
      <c r="AE437" s="105"/>
      <c r="AF437" s="105"/>
      <c r="AG437" s="105"/>
      <c r="AH437" s="105"/>
      <c r="AI437" s="105"/>
      <c r="AJ437" s="105"/>
      <c r="AK437" s="105"/>
      <c r="AL437" s="105"/>
      <c r="AM437" s="105"/>
    </row>
    <row r="438" spans="1:39" ht="15">
      <c r="A438" s="62" t="s">
        <v>275</v>
      </c>
      <c r="B438" s="62" t="s">
        <v>257</v>
      </c>
      <c r="C438" s="63" t="s">
        <v>3598</v>
      </c>
      <c r="D438" s="64">
        <v>5</v>
      </c>
      <c r="E438" s="65" t="s">
        <v>132</v>
      </c>
      <c r="F438" s="66">
        <v>32</v>
      </c>
      <c r="G438" s="63"/>
      <c r="H438" s="67"/>
      <c r="I438" s="68"/>
      <c r="J438" s="68"/>
      <c r="K438" s="31" t="s">
        <v>65</v>
      </c>
      <c r="L438" s="76">
        <v>438</v>
      </c>
      <c r="M438" s="76"/>
      <c r="N438" s="70"/>
      <c r="O438" s="78" t="s">
        <v>305</v>
      </c>
      <c r="P438" s="78" t="s">
        <v>443</v>
      </c>
      <c r="Q438" s="78" t="s">
        <v>889</v>
      </c>
      <c r="R438" s="78" t="s">
        <v>953</v>
      </c>
      <c r="S438" s="78"/>
      <c r="T438" s="78"/>
      <c r="U438" s="78"/>
      <c r="V438" s="78"/>
      <c r="W438" s="81" t="s">
        <v>1674</v>
      </c>
      <c r="X438" s="81" t="s">
        <v>1674</v>
      </c>
      <c r="Y438" s="78"/>
      <c r="Z438" s="78"/>
      <c r="AA438" s="81" t="s">
        <v>1674</v>
      </c>
      <c r="AB438" s="79">
        <v>1</v>
      </c>
      <c r="AC438" s="80" t="str">
        <f>REPLACE(INDEX(GroupVertices[Group],MATCH("~"&amp;Edges[[#This Row],[Vertex 1]],GroupVertices[Vertex],0)),1,1,"")</f>
        <v>1</v>
      </c>
      <c r="AD438" s="80" t="str">
        <f>REPLACE(INDEX(GroupVertices[Group],MATCH("~"&amp;Edges[[#This Row],[Vertex 2]],GroupVertices[Vertex],0)),1,1,"")</f>
        <v>1</v>
      </c>
      <c r="AE438" s="105"/>
      <c r="AF438" s="105"/>
      <c r="AG438" s="105"/>
      <c r="AH438" s="105"/>
      <c r="AI438" s="105"/>
      <c r="AJ438" s="105"/>
      <c r="AK438" s="105"/>
      <c r="AL438" s="105"/>
      <c r="AM438" s="105"/>
    </row>
    <row r="439" spans="1:39" ht="15">
      <c r="A439" s="62" t="s">
        <v>235</v>
      </c>
      <c r="B439" s="62" t="s">
        <v>275</v>
      </c>
      <c r="C439" s="63" t="s">
        <v>3598</v>
      </c>
      <c r="D439" s="64">
        <v>5</v>
      </c>
      <c r="E439" s="65" t="s">
        <v>132</v>
      </c>
      <c r="F439" s="66">
        <v>32</v>
      </c>
      <c r="G439" s="63"/>
      <c r="H439" s="67"/>
      <c r="I439" s="68"/>
      <c r="J439" s="68"/>
      <c r="K439" s="31" t="s">
        <v>65</v>
      </c>
      <c r="L439" s="76">
        <v>439</v>
      </c>
      <c r="M439" s="76"/>
      <c r="N439" s="70"/>
      <c r="O439" s="78" t="s">
        <v>305</v>
      </c>
      <c r="P439" s="78" t="s">
        <v>444</v>
      </c>
      <c r="Q439" s="78" t="s">
        <v>892</v>
      </c>
      <c r="R439" s="78" t="s">
        <v>890</v>
      </c>
      <c r="S439" s="78"/>
      <c r="T439" s="78"/>
      <c r="U439" s="78"/>
      <c r="V439" s="78"/>
      <c r="W439" s="81" t="s">
        <v>1674</v>
      </c>
      <c r="X439" s="81" t="s">
        <v>1674</v>
      </c>
      <c r="Y439" s="78"/>
      <c r="Z439" s="78"/>
      <c r="AA439" s="81" t="s">
        <v>1674</v>
      </c>
      <c r="AB439" s="79">
        <v>1</v>
      </c>
      <c r="AC439" s="80" t="str">
        <f>REPLACE(INDEX(GroupVertices[Group],MATCH("~"&amp;Edges[[#This Row],[Vertex 1]],GroupVertices[Vertex],0)),1,1,"")</f>
        <v>1</v>
      </c>
      <c r="AD439" s="80" t="str">
        <f>REPLACE(INDEX(GroupVertices[Group],MATCH("~"&amp;Edges[[#This Row],[Vertex 2]],GroupVertices[Vertex],0)),1,1,"")</f>
        <v>1</v>
      </c>
      <c r="AE439" s="105"/>
      <c r="AF439" s="105"/>
      <c r="AG439" s="105"/>
      <c r="AH439" s="105"/>
      <c r="AI439" s="105"/>
      <c r="AJ439" s="105"/>
      <c r="AK439" s="105"/>
      <c r="AL439" s="105"/>
      <c r="AM439" s="105"/>
    </row>
    <row r="440" spans="1:39" ht="15">
      <c r="A440" s="62" t="s">
        <v>260</v>
      </c>
      <c r="B440" s="62" t="s">
        <v>275</v>
      </c>
      <c r="C440" s="63" t="s">
        <v>3598</v>
      </c>
      <c r="D440" s="64">
        <v>5.2631578947368425</v>
      </c>
      <c r="E440" s="65" t="s">
        <v>136</v>
      </c>
      <c r="F440" s="66">
        <v>31.50943396226415</v>
      </c>
      <c r="G440" s="63"/>
      <c r="H440" s="67"/>
      <c r="I440" s="68"/>
      <c r="J440" s="68"/>
      <c r="K440" s="31" t="s">
        <v>65</v>
      </c>
      <c r="L440" s="76">
        <v>440</v>
      </c>
      <c r="M440" s="76"/>
      <c r="N440" s="70"/>
      <c r="O440" s="78" t="s">
        <v>305</v>
      </c>
      <c r="P440" s="78" t="s">
        <v>444</v>
      </c>
      <c r="Q440" s="78" t="s">
        <v>893</v>
      </c>
      <c r="R440" s="78" t="s">
        <v>890</v>
      </c>
      <c r="S440" s="78"/>
      <c r="T440" s="78"/>
      <c r="U440" s="78"/>
      <c r="V440" s="78"/>
      <c r="W440" s="81" t="s">
        <v>1674</v>
      </c>
      <c r="X440" s="81" t="s">
        <v>1674</v>
      </c>
      <c r="Y440" s="78"/>
      <c r="Z440" s="78"/>
      <c r="AA440" s="81" t="s">
        <v>1674</v>
      </c>
      <c r="AB440" s="79">
        <v>2</v>
      </c>
      <c r="AC440" s="80" t="str">
        <f>REPLACE(INDEX(GroupVertices[Group],MATCH("~"&amp;Edges[[#This Row],[Vertex 1]],GroupVertices[Vertex],0)),1,1,"")</f>
        <v>1</v>
      </c>
      <c r="AD440" s="80" t="str">
        <f>REPLACE(INDEX(GroupVertices[Group],MATCH("~"&amp;Edges[[#This Row],[Vertex 2]],GroupVertices[Vertex],0)),1,1,"")</f>
        <v>1</v>
      </c>
      <c r="AE440" s="105"/>
      <c r="AF440" s="105"/>
      <c r="AG440" s="105"/>
      <c r="AH440" s="105"/>
      <c r="AI440" s="105"/>
      <c r="AJ440" s="105"/>
      <c r="AK440" s="105"/>
      <c r="AL440" s="105"/>
      <c r="AM440" s="105"/>
    </row>
    <row r="441" spans="1:39" ht="15">
      <c r="A441" s="62" t="s">
        <v>260</v>
      </c>
      <c r="B441" s="62" t="s">
        <v>275</v>
      </c>
      <c r="C441" s="63" t="s">
        <v>3598</v>
      </c>
      <c r="D441" s="64">
        <v>5.2631578947368425</v>
      </c>
      <c r="E441" s="65" t="s">
        <v>136</v>
      </c>
      <c r="F441" s="66">
        <v>31.50943396226415</v>
      </c>
      <c r="G441" s="63"/>
      <c r="H441" s="67"/>
      <c r="I441" s="68"/>
      <c r="J441" s="68"/>
      <c r="K441" s="31" t="s">
        <v>65</v>
      </c>
      <c r="L441" s="76">
        <v>441</v>
      </c>
      <c r="M441" s="76"/>
      <c r="N441" s="70"/>
      <c r="O441" s="78" t="s">
        <v>305</v>
      </c>
      <c r="P441" s="78" t="s">
        <v>444</v>
      </c>
      <c r="Q441" s="78" t="s">
        <v>894</v>
      </c>
      <c r="R441" s="78" t="s">
        <v>890</v>
      </c>
      <c r="S441" s="78"/>
      <c r="T441" s="78"/>
      <c r="U441" s="78"/>
      <c r="V441" s="78"/>
      <c r="W441" s="81" t="s">
        <v>1674</v>
      </c>
      <c r="X441" s="81" t="s">
        <v>1674</v>
      </c>
      <c r="Y441" s="78"/>
      <c r="Z441" s="78"/>
      <c r="AA441" s="81" t="s">
        <v>1674</v>
      </c>
      <c r="AB441" s="79">
        <v>2</v>
      </c>
      <c r="AC441" s="80" t="str">
        <f>REPLACE(INDEX(GroupVertices[Group],MATCH("~"&amp;Edges[[#This Row],[Vertex 1]],GroupVertices[Vertex],0)),1,1,"")</f>
        <v>1</v>
      </c>
      <c r="AD441" s="80" t="str">
        <f>REPLACE(INDEX(GroupVertices[Group],MATCH("~"&amp;Edges[[#This Row],[Vertex 2]],GroupVertices[Vertex],0)),1,1,"")</f>
        <v>1</v>
      </c>
      <c r="AE441" s="105"/>
      <c r="AF441" s="105"/>
      <c r="AG441" s="105"/>
      <c r="AH441" s="105"/>
      <c r="AI441" s="105"/>
      <c r="AJ441" s="105"/>
      <c r="AK441" s="105"/>
      <c r="AL441" s="105"/>
      <c r="AM441" s="105"/>
    </row>
    <row r="442" spans="1:39" ht="15">
      <c r="A442" s="62" t="s">
        <v>276</v>
      </c>
      <c r="B442" s="62" t="s">
        <v>275</v>
      </c>
      <c r="C442" s="63" t="s">
        <v>3598</v>
      </c>
      <c r="D442" s="64">
        <v>5</v>
      </c>
      <c r="E442" s="65" t="s">
        <v>132</v>
      </c>
      <c r="F442" s="66">
        <v>32</v>
      </c>
      <c r="G442" s="63"/>
      <c r="H442" s="67"/>
      <c r="I442" s="68"/>
      <c r="J442" s="68"/>
      <c r="K442" s="31" t="s">
        <v>65</v>
      </c>
      <c r="L442" s="76">
        <v>442</v>
      </c>
      <c r="M442" s="76"/>
      <c r="N442" s="70"/>
      <c r="O442" s="78" t="s">
        <v>305</v>
      </c>
      <c r="P442" s="78" t="s">
        <v>443</v>
      </c>
      <c r="Q442" s="78" t="s">
        <v>895</v>
      </c>
      <c r="R442" s="78" t="s">
        <v>889</v>
      </c>
      <c r="S442" s="78"/>
      <c r="T442" s="78"/>
      <c r="U442" s="78"/>
      <c r="V442" s="78"/>
      <c r="W442" s="81" t="s">
        <v>1674</v>
      </c>
      <c r="X442" s="81" t="s">
        <v>1674</v>
      </c>
      <c r="Y442" s="78"/>
      <c r="Z442" s="78"/>
      <c r="AA442" s="81" t="s">
        <v>1674</v>
      </c>
      <c r="AB442" s="79">
        <v>1</v>
      </c>
      <c r="AC442" s="80" t="str">
        <f>REPLACE(INDEX(GroupVertices[Group],MATCH("~"&amp;Edges[[#This Row],[Vertex 1]],GroupVertices[Vertex],0)),1,1,"")</f>
        <v>1</v>
      </c>
      <c r="AD442" s="80" t="str">
        <f>REPLACE(INDEX(GroupVertices[Group],MATCH("~"&amp;Edges[[#This Row],[Vertex 2]],GroupVertices[Vertex],0)),1,1,"")</f>
        <v>1</v>
      </c>
      <c r="AE442" s="105"/>
      <c r="AF442" s="105"/>
      <c r="AG442" s="105"/>
      <c r="AH442" s="105"/>
      <c r="AI442" s="105"/>
      <c r="AJ442" s="105"/>
      <c r="AK442" s="105"/>
      <c r="AL442" s="105"/>
      <c r="AM442" s="105"/>
    </row>
    <row r="443" spans="1:39" ht="15">
      <c r="A443" s="62" t="s">
        <v>277</v>
      </c>
      <c r="B443" s="62" t="s">
        <v>275</v>
      </c>
      <c r="C443" s="63" t="s">
        <v>3598</v>
      </c>
      <c r="D443" s="64">
        <v>5</v>
      </c>
      <c r="E443" s="65" t="s">
        <v>132</v>
      </c>
      <c r="F443" s="66">
        <v>32</v>
      </c>
      <c r="G443" s="63"/>
      <c r="H443" s="67"/>
      <c r="I443" s="68"/>
      <c r="J443" s="68"/>
      <c r="K443" s="31" t="s">
        <v>65</v>
      </c>
      <c r="L443" s="76">
        <v>443</v>
      </c>
      <c r="M443" s="76"/>
      <c r="N443" s="70"/>
      <c r="O443" s="78" t="s">
        <v>305</v>
      </c>
      <c r="P443" s="78" t="s">
        <v>443</v>
      </c>
      <c r="Q443" s="78" t="s">
        <v>896</v>
      </c>
      <c r="R443" s="78" t="s">
        <v>889</v>
      </c>
      <c r="S443" s="78"/>
      <c r="T443" s="78"/>
      <c r="U443" s="78"/>
      <c r="V443" s="78"/>
      <c r="W443" s="81" t="s">
        <v>1674</v>
      </c>
      <c r="X443" s="81" t="s">
        <v>1674</v>
      </c>
      <c r="Y443" s="78"/>
      <c r="Z443" s="78"/>
      <c r="AA443" s="81" t="s">
        <v>1674</v>
      </c>
      <c r="AB443" s="79">
        <v>1</v>
      </c>
      <c r="AC443" s="80" t="str">
        <f>REPLACE(INDEX(GroupVertices[Group],MATCH("~"&amp;Edges[[#This Row],[Vertex 1]],GroupVertices[Vertex],0)),1,1,"")</f>
        <v>1</v>
      </c>
      <c r="AD443" s="80" t="str">
        <f>REPLACE(INDEX(GroupVertices[Group],MATCH("~"&amp;Edges[[#This Row],[Vertex 2]],GroupVertices[Vertex],0)),1,1,"")</f>
        <v>1</v>
      </c>
      <c r="AE443" s="105"/>
      <c r="AF443" s="105"/>
      <c r="AG443" s="105"/>
      <c r="AH443" s="105"/>
      <c r="AI443" s="105"/>
      <c r="AJ443" s="105"/>
      <c r="AK443" s="105"/>
      <c r="AL443" s="105"/>
      <c r="AM443" s="105"/>
    </row>
    <row r="444" spans="1:39" ht="15">
      <c r="A444" s="62" t="s">
        <v>276</v>
      </c>
      <c r="B444" s="62" t="s">
        <v>242</v>
      </c>
      <c r="C444" s="63" t="s">
        <v>3598</v>
      </c>
      <c r="D444" s="64">
        <v>5</v>
      </c>
      <c r="E444" s="65" t="s">
        <v>132</v>
      </c>
      <c r="F444" s="66">
        <v>32</v>
      </c>
      <c r="G444" s="63"/>
      <c r="H444" s="67"/>
      <c r="I444" s="68"/>
      <c r="J444" s="68"/>
      <c r="K444" s="31" t="s">
        <v>65</v>
      </c>
      <c r="L444" s="76">
        <v>444</v>
      </c>
      <c r="M444" s="76"/>
      <c r="N444" s="70"/>
      <c r="O444" s="78" t="s">
        <v>305</v>
      </c>
      <c r="P444" s="78" t="s">
        <v>443</v>
      </c>
      <c r="Q444" s="78" t="s">
        <v>895</v>
      </c>
      <c r="R444" s="78" t="s">
        <v>1417</v>
      </c>
      <c r="S444" s="78"/>
      <c r="T444" s="78"/>
      <c r="U444" s="78"/>
      <c r="V444" s="78"/>
      <c r="W444" s="81" t="s">
        <v>1674</v>
      </c>
      <c r="X444" s="81" t="s">
        <v>1674</v>
      </c>
      <c r="Y444" s="78"/>
      <c r="Z444" s="78"/>
      <c r="AA444" s="81" t="s">
        <v>1674</v>
      </c>
      <c r="AB444" s="79">
        <v>1</v>
      </c>
      <c r="AC444" s="80" t="str">
        <f>REPLACE(INDEX(GroupVertices[Group],MATCH("~"&amp;Edges[[#This Row],[Vertex 1]],GroupVertices[Vertex],0)),1,1,"")</f>
        <v>1</v>
      </c>
      <c r="AD444" s="80" t="str">
        <f>REPLACE(INDEX(GroupVertices[Group],MATCH("~"&amp;Edges[[#This Row],[Vertex 2]],GroupVertices[Vertex],0)),1,1,"")</f>
        <v>5</v>
      </c>
      <c r="AE444" s="105"/>
      <c r="AF444" s="105"/>
      <c r="AG444" s="105"/>
      <c r="AH444" s="105"/>
      <c r="AI444" s="105"/>
      <c r="AJ444" s="105"/>
      <c r="AK444" s="105"/>
      <c r="AL444" s="105"/>
      <c r="AM444" s="105"/>
    </row>
    <row r="445" spans="1:39" ht="15">
      <c r="A445" s="62" t="s">
        <v>276</v>
      </c>
      <c r="B445" s="62" t="s">
        <v>228</v>
      </c>
      <c r="C445" s="63" t="s">
        <v>3598</v>
      </c>
      <c r="D445" s="64">
        <v>5</v>
      </c>
      <c r="E445" s="65" t="s">
        <v>132</v>
      </c>
      <c r="F445" s="66">
        <v>32</v>
      </c>
      <c r="G445" s="63"/>
      <c r="H445" s="67"/>
      <c r="I445" s="68"/>
      <c r="J445" s="68"/>
      <c r="K445" s="31" t="s">
        <v>65</v>
      </c>
      <c r="L445" s="76">
        <v>445</v>
      </c>
      <c r="M445" s="76"/>
      <c r="N445" s="70"/>
      <c r="O445" s="78" t="s">
        <v>305</v>
      </c>
      <c r="P445" s="78" t="s">
        <v>443</v>
      </c>
      <c r="Q445" s="78" t="s">
        <v>895</v>
      </c>
      <c r="R445" s="78" t="s">
        <v>947</v>
      </c>
      <c r="S445" s="78"/>
      <c r="T445" s="78"/>
      <c r="U445" s="78"/>
      <c r="V445" s="78"/>
      <c r="W445" s="81" t="s">
        <v>1674</v>
      </c>
      <c r="X445" s="81" t="s">
        <v>1674</v>
      </c>
      <c r="Y445" s="78"/>
      <c r="Z445" s="78"/>
      <c r="AA445" s="81" t="s">
        <v>1674</v>
      </c>
      <c r="AB445" s="79">
        <v>1</v>
      </c>
      <c r="AC445" s="80" t="str">
        <f>REPLACE(INDEX(GroupVertices[Group],MATCH("~"&amp;Edges[[#This Row],[Vertex 1]],GroupVertices[Vertex],0)),1,1,"")</f>
        <v>1</v>
      </c>
      <c r="AD445" s="80" t="str">
        <f>REPLACE(INDEX(GroupVertices[Group],MATCH("~"&amp;Edges[[#This Row],[Vertex 2]],GroupVertices[Vertex],0)),1,1,"")</f>
        <v>1</v>
      </c>
      <c r="AE445" s="105"/>
      <c r="AF445" s="105"/>
      <c r="AG445" s="105"/>
      <c r="AH445" s="105"/>
      <c r="AI445" s="105"/>
      <c r="AJ445" s="105"/>
      <c r="AK445" s="105"/>
      <c r="AL445" s="105"/>
      <c r="AM445" s="105"/>
    </row>
    <row r="446" spans="1:39" ht="15">
      <c r="A446" s="62" t="s">
        <v>276</v>
      </c>
      <c r="B446" s="62" t="s">
        <v>257</v>
      </c>
      <c r="C446" s="63" t="s">
        <v>3598</v>
      </c>
      <c r="D446" s="64">
        <v>5.2631578947368425</v>
      </c>
      <c r="E446" s="65" t="s">
        <v>136</v>
      </c>
      <c r="F446" s="66">
        <v>31.50943396226415</v>
      </c>
      <c r="G446" s="63"/>
      <c r="H446" s="67"/>
      <c r="I446" s="68"/>
      <c r="J446" s="68"/>
      <c r="K446" s="31" t="s">
        <v>65</v>
      </c>
      <c r="L446" s="76">
        <v>446</v>
      </c>
      <c r="M446" s="76"/>
      <c r="N446" s="70"/>
      <c r="O446" s="78" t="s">
        <v>305</v>
      </c>
      <c r="P446" s="78" t="s">
        <v>443</v>
      </c>
      <c r="Q446" s="78" t="s">
        <v>895</v>
      </c>
      <c r="R446" s="78" t="s">
        <v>953</v>
      </c>
      <c r="S446" s="78"/>
      <c r="T446" s="78"/>
      <c r="U446" s="78"/>
      <c r="V446" s="78"/>
      <c r="W446" s="81" t="s">
        <v>1674</v>
      </c>
      <c r="X446" s="81" t="s">
        <v>1674</v>
      </c>
      <c r="Y446" s="78"/>
      <c r="Z446" s="78"/>
      <c r="AA446" s="81" t="s">
        <v>1674</v>
      </c>
      <c r="AB446" s="79">
        <v>2</v>
      </c>
      <c r="AC446" s="80" t="str">
        <f>REPLACE(INDEX(GroupVertices[Group],MATCH("~"&amp;Edges[[#This Row],[Vertex 1]],GroupVertices[Vertex],0)),1,1,"")</f>
        <v>1</v>
      </c>
      <c r="AD446" s="80" t="str">
        <f>REPLACE(INDEX(GroupVertices[Group],MATCH("~"&amp;Edges[[#This Row],[Vertex 2]],GroupVertices[Vertex],0)),1,1,"")</f>
        <v>1</v>
      </c>
      <c r="AE446" s="105"/>
      <c r="AF446" s="105"/>
      <c r="AG446" s="105"/>
      <c r="AH446" s="105"/>
      <c r="AI446" s="105"/>
      <c r="AJ446" s="105"/>
      <c r="AK446" s="105"/>
      <c r="AL446" s="105"/>
      <c r="AM446" s="105"/>
    </row>
    <row r="447" spans="1:39" ht="15">
      <c r="A447" s="62" t="s">
        <v>276</v>
      </c>
      <c r="B447" s="62" t="s">
        <v>257</v>
      </c>
      <c r="C447" s="63" t="s">
        <v>3598</v>
      </c>
      <c r="D447" s="64">
        <v>5.2631578947368425</v>
      </c>
      <c r="E447" s="65" t="s">
        <v>136</v>
      </c>
      <c r="F447" s="66">
        <v>31.50943396226415</v>
      </c>
      <c r="G447" s="63"/>
      <c r="H447" s="67"/>
      <c r="I447" s="68"/>
      <c r="J447" s="68"/>
      <c r="K447" s="31" t="s">
        <v>65</v>
      </c>
      <c r="L447" s="76">
        <v>447</v>
      </c>
      <c r="M447" s="76"/>
      <c r="N447" s="70"/>
      <c r="O447" s="78" t="s">
        <v>305</v>
      </c>
      <c r="P447" s="78" t="s">
        <v>446</v>
      </c>
      <c r="Q447" s="78" t="s">
        <v>897</v>
      </c>
      <c r="R447" s="78" t="s">
        <v>1420</v>
      </c>
      <c r="S447" s="78"/>
      <c r="T447" s="78"/>
      <c r="U447" s="78"/>
      <c r="V447" s="78"/>
      <c r="W447" s="81" t="s">
        <v>1674</v>
      </c>
      <c r="X447" s="81" t="s">
        <v>1674</v>
      </c>
      <c r="Y447" s="78"/>
      <c r="Z447" s="78"/>
      <c r="AA447" s="81" t="s">
        <v>1674</v>
      </c>
      <c r="AB447" s="79">
        <v>2</v>
      </c>
      <c r="AC447" s="80" t="str">
        <f>REPLACE(INDEX(GroupVertices[Group],MATCH("~"&amp;Edges[[#This Row],[Vertex 1]],GroupVertices[Vertex],0)),1,1,"")</f>
        <v>1</v>
      </c>
      <c r="AD447" s="80" t="str">
        <f>REPLACE(INDEX(GroupVertices[Group],MATCH("~"&amp;Edges[[#This Row],[Vertex 2]],GroupVertices[Vertex],0)),1,1,"")</f>
        <v>1</v>
      </c>
      <c r="AE447" s="105"/>
      <c r="AF447" s="105"/>
      <c r="AG447" s="105"/>
      <c r="AH447" s="105"/>
      <c r="AI447" s="105"/>
      <c r="AJ447" s="105"/>
      <c r="AK447" s="105"/>
      <c r="AL447" s="105"/>
      <c r="AM447" s="105"/>
    </row>
    <row r="448" spans="1:39" ht="15">
      <c r="A448" s="62" t="s">
        <v>276</v>
      </c>
      <c r="B448" s="62" t="s">
        <v>235</v>
      </c>
      <c r="C448" s="63" t="s">
        <v>3598</v>
      </c>
      <c r="D448" s="64">
        <v>5</v>
      </c>
      <c r="E448" s="65" t="s">
        <v>132</v>
      </c>
      <c r="F448" s="66">
        <v>32</v>
      </c>
      <c r="G448" s="63"/>
      <c r="H448" s="67"/>
      <c r="I448" s="68"/>
      <c r="J448" s="68"/>
      <c r="K448" s="31" t="s">
        <v>65</v>
      </c>
      <c r="L448" s="76">
        <v>448</v>
      </c>
      <c r="M448" s="76"/>
      <c r="N448" s="70"/>
      <c r="O448" s="78" t="s">
        <v>305</v>
      </c>
      <c r="P448" s="78" t="s">
        <v>446</v>
      </c>
      <c r="Q448" s="78" t="s">
        <v>897</v>
      </c>
      <c r="R448" s="78" t="s">
        <v>1004</v>
      </c>
      <c r="S448" s="78"/>
      <c r="T448" s="78"/>
      <c r="U448" s="78"/>
      <c r="V448" s="78"/>
      <c r="W448" s="81" t="s">
        <v>1674</v>
      </c>
      <c r="X448" s="81" t="s">
        <v>1674</v>
      </c>
      <c r="Y448" s="78"/>
      <c r="Z448" s="78"/>
      <c r="AA448" s="81" t="s">
        <v>1674</v>
      </c>
      <c r="AB448" s="79">
        <v>1</v>
      </c>
      <c r="AC448" s="80" t="str">
        <f>REPLACE(INDEX(GroupVertices[Group],MATCH("~"&amp;Edges[[#This Row],[Vertex 1]],GroupVertices[Vertex],0)),1,1,"")</f>
        <v>1</v>
      </c>
      <c r="AD448" s="80" t="str">
        <f>REPLACE(INDEX(GroupVertices[Group],MATCH("~"&amp;Edges[[#This Row],[Vertex 2]],GroupVertices[Vertex],0)),1,1,"")</f>
        <v>1</v>
      </c>
      <c r="AE448" s="105"/>
      <c r="AF448" s="105"/>
      <c r="AG448" s="105"/>
      <c r="AH448" s="105"/>
      <c r="AI448" s="105"/>
      <c r="AJ448" s="105"/>
      <c r="AK448" s="105"/>
      <c r="AL448" s="105"/>
      <c r="AM448" s="105"/>
    </row>
    <row r="449" spans="1:39" ht="15">
      <c r="A449" s="62" t="s">
        <v>276</v>
      </c>
      <c r="B449" s="62" t="s">
        <v>260</v>
      </c>
      <c r="C449" s="63" t="s">
        <v>3598</v>
      </c>
      <c r="D449" s="64">
        <v>5</v>
      </c>
      <c r="E449" s="65" t="s">
        <v>132</v>
      </c>
      <c r="F449" s="66">
        <v>32</v>
      </c>
      <c r="G449" s="63"/>
      <c r="H449" s="67"/>
      <c r="I449" s="68"/>
      <c r="J449" s="68"/>
      <c r="K449" s="31" t="s">
        <v>65</v>
      </c>
      <c r="L449" s="76">
        <v>449</v>
      </c>
      <c r="M449" s="76"/>
      <c r="N449" s="70"/>
      <c r="O449" s="78" t="s">
        <v>305</v>
      </c>
      <c r="P449" s="78" t="s">
        <v>446</v>
      </c>
      <c r="Q449" s="78" t="s">
        <v>897</v>
      </c>
      <c r="R449" s="78" t="s">
        <v>1005</v>
      </c>
      <c r="S449" s="78"/>
      <c r="T449" s="78"/>
      <c r="U449" s="78"/>
      <c r="V449" s="78"/>
      <c r="W449" s="81" t="s">
        <v>1674</v>
      </c>
      <c r="X449" s="81" t="s">
        <v>1674</v>
      </c>
      <c r="Y449" s="78"/>
      <c r="Z449" s="78"/>
      <c r="AA449" s="81" t="s">
        <v>1674</v>
      </c>
      <c r="AB449" s="79">
        <v>1</v>
      </c>
      <c r="AC449" s="80" t="str">
        <f>REPLACE(INDEX(GroupVertices[Group],MATCH("~"&amp;Edges[[#This Row],[Vertex 1]],GroupVertices[Vertex],0)),1,1,"")</f>
        <v>1</v>
      </c>
      <c r="AD449" s="80" t="str">
        <f>REPLACE(INDEX(GroupVertices[Group],MATCH("~"&amp;Edges[[#This Row],[Vertex 2]],GroupVertices[Vertex],0)),1,1,"")</f>
        <v>1</v>
      </c>
      <c r="AE449" s="105"/>
      <c r="AF449" s="105"/>
      <c r="AG449" s="105"/>
      <c r="AH449" s="105"/>
      <c r="AI449" s="105"/>
      <c r="AJ449" s="105"/>
      <c r="AK449" s="105"/>
      <c r="AL449" s="105"/>
      <c r="AM449" s="105"/>
    </row>
    <row r="450" spans="1:39" ht="15">
      <c r="A450" s="62" t="s">
        <v>276</v>
      </c>
      <c r="B450" s="62" t="s">
        <v>267</v>
      </c>
      <c r="C450" s="63" t="s">
        <v>3598</v>
      </c>
      <c r="D450" s="64">
        <v>5</v>
      </c>
      <c r="E450" s="65" t="s">
        <v>132</v>
      </c>
      <c r="F450" s="66">
        <v>32</v>
      </c>
      <c r="G450" s="63"/>
      <c r="H450" s="67"/>
      <c r="I450" s="68"/>
      <c r="J450" s="68"/>
      <c r="K450" s="31" t="s">
        <v>65</v>
      </c>
      <c r="L450" s="76">
        <v>450</v>
      </c>
      <c r="M450" s="76"/>
      <c r="N450" s="70"/>
      <c r="O450" s="78" t="s">
        <v>305</v>
      </c>
      <c r="P450" s="78" t="s">
        <v>446</v>
      </c>
      <c r="Q450" s="78" t="s">
        <v>897</v>
      </c>
      <c r="R450" s="78" t="s">
        <v>1007</v>
      </c>
      <c r="S450" s="78"/>
      <c r="T450" s="78"/>
      <c r="U450" s="78"/>
      <c r="V450" s="78"/>
      <c r="W450" s="81" t="s">
        <v>1674</v>
      </c>
      <c r="X450" s="81" t="s">
        <v>1674</v>
      </c>
      <c r="Y450" s="78"/>
      <c r="Z450" s="78"/>
      <c r="AA450" s="81" t="s">
        <v>1674</v>
      </c>
      <c r="AB450" s="79">
        <v>1</v>
      </c>
      <c r="AC450" s="80" t="str">
        <f>REPLACE(INDEX(GroupVertices[Group],MATCH("~"&amp;Edges[[#This Row],[Vertex 1]],GroupVertices[Vertex],0)),1,1,"")</f>
        <v>1</v>
      </c>
      <c r="AD450" s="80" t="str">
        <f>REPLACE(INDEX(GroupVertices[Group],MATCH("~"&amp;Edges[[#This Row],[Vertex 2]],GroupVertices[Vertex],0)),1,1,"")</f>
        <v>1</v>
      </c>
      <c r="AE450" s="105"/>
      <c r="AF450" s="105"/>
      <c r="AG450" s="105"/>
      <c r="AH450" s="105"/>
      <c r="AI450" s="105"/>
      <c r="AJ450" s="105"/>
      <c r="AK450" s="105"/>
      <c r="AL450" s="105"/>
      <c r="AM450" s="105"/>
    </row>
    <row r="451" spans="1:39" ht="15">
      <c r="A451" s="62" t="s">
        <v>277</v>
      </c>
      <c r="B451" s="62" t="s">
        <v>276</v>
      </c>
      <c r="C451" s="63" t="s">
        <v>3602</v>
      </c>
      <c r="D451" s="64">
        <v>5.526315789473684</v>
      </c>
      <c r="E451" s="65" t="s">
        <v>136</v>
      </c>
      <c r="F451" s="66">
        <v>31.0188679245283</v>
      </c>
      <c r="G451" s="63"/>
      <c r="H451" s="67"/>
      <c r="I451" s="68"/>
      <c r="J451" s="68"/>
      <c r="K451" s="31" t="s">
        <v>65</v>
      </c>
      <c r="L451" s="76">
        <v>451</v>
      </c>
      <c r="M451" s="76"/>
      <c r="N451" s="70"/>
      <c r="O451" s="78" t="s">
        <v>305</v>
      </c>
      <c r="P451" s="78" t="s">
        <v>443</v>
      </c>
      <c r="Q451" s="78" t="s">
        <v>896</v>
      </c>
      <c r="R451" s="78" t="s">
        <v>895</v>
      </c>
      <c r="S451" s="78"/>
      <c r="T451" s="78"/>
      <c r="U451" s="78"/>
      <c r="V451" s="78"/>
      <c r="W451" s="81" t="s">
        <v>1674</v>
      </c>
      <c r="X451" s="81" t="s">
        <v>1674</v>
      </c>
      <c r="Y451" s="78"/>
      <c r="Z451" s="78"/>
      <c r="AA451" s="81" t="s">
        <v>1674</v>
      </c>
      <c r="AB451" s="79">
        <v>3</v>
      </c>
      <c r="AC451" s="80" t="str">
        <f>REPLACE(INDEX(GroupVertices[Group],MATCH("~"&amp;Edges[[#This Row],[Vertex 1]],GroupVertices[Vertex],0)),1,1,"")</f>
        <v>1</v>
      </c>
      <c r="AD451" s="80" t="str">
        <f>REPLACE(INDEX(GroupVertices[Group],MATCH("~"&amp;Edges[[#This Row],[Vertex 2]],GroupVertices[Vertex],0)),1,1,"")</f>
        <v>1</v>
      </c>
      <c r="AE451" s="105"/>
      <c r="AF451" s="105"/>
      <c r="AG451" s="105"/>
      <c r="AH451" s="105"/>
      <c r="AI451" s="105"/>
      <c r="AJ451" s="105"/>
      <c r="AK451" s="105"/>
      <c r="AL451" s="105"/>
      <c r="AM451" s="105"/>
    </row>
    <row r="452" spans="1:39" ht="15">
      <c r="A452" s="62" t="s">
        <v>277</v>
      </c>
      <c r="B452" s="62" t="s">
        <v>276</v>
      </c>
      <c r="C452" s="63" t="s">
        <v>3602</v>
      </c>
      <c r="D452" s="64">
        <v>5.526315789473684</v>
      </c>
      <c r="E452" s="65" t="s">
        <v>136</v>
      </c>
      <c r="F452" s="66">
        <v>31.0188679245283</v>
      </c>
      <c r="G452" s="63"/>
      <c r="H452" s="67"/>
      <c r="I452" s="68"/>
      <c r="J452" s="68"/>
      <c r="K452" s="31" t="s">
        <v>65</v>
      </c>
      <c r="L452" s="76">
        <v>452</v>
      </c>
      <c r="M452" s="76"/>
      <c r="N452" s="70"/>
      <c r="O452" s="78" t="s">
        <v>305</v>
      </c>
      <c r="P452" s="78" t="s">
        <v>447</v>
      </c>
      <c r="Q452" s="78" t="s">
        <v>898</v>
      </c>
      <c r="R452" s="78" t="s">
        <v>1421</v>
      </c>
      <c r="S452" s="78"/>
      <c r="T452" s="78"/>
      <c r="U452" s="78"/>
      <c r="V452" s="78"/>
      <c r="W452" s="81" t="s">
        <v>1674</v>
      </c>
      <c r="X452" s="81" t="s">
        <v>1674</v>
      </c>
      <c r="Y452" s="78"/>
      <c r="Z452" s="78"/>
      <c r="AA452" s="81" t="s">
        <v>1674</v>
      </c>
      <c r="AB452" s="79">
        <v>3</v>
      </c>
      <c r="AC452" s="80" t="str">
        <f>REPLACE(INDEX(GroupVertices[Group],MATCH("~"&amp;Edges[[#This Row],[Vertex 1]],GroupVertices[Vertex],0)),1,1,"")</f>
        <v>1</v>
      </c>
      <c r="AD452" s="80" t="str">
        <f>REPLACE(INDEX(GroupVertices[Group],MATCH("~"&amp;Edges[[#This Row],[Vertex 2]],GroupVertices[Vertex],0)),1,1,"")</f>
        <v>1</v>
      </c>
      <c r="AE452" s="105"/>
      <c r="AF452" s="105"/>
      <c r="AG452" s="105"/>
      <c r="AH452" s="105"/>
      <c r="AI452" s="105"/>
      <c r="AJ452" s="105"/>
      <c r="AK452" s="105"/>
      <c r="AL452" s="105"/>
      <c r="AM452" s="105"/>
    </row>
    <row r="453" spans="1:39" ht="15">
      <c r="A453" s="62" t="s">
        <v>277</v>
      </c>
      <c r="B453" s="62" t="s">
        <v>276</v>
      </c>
      <c r="C453" s="63" t="s">
        <v>3602</v>
      </c>
      <c r="D453" s="64">
        <v>5.526315789473684</v>
      </c>
      <c r="E453" s="65" t="s">
        <v>136</v>
      </c>
      <c r="F453" s="66">
        <v>31.0188679245283</v>
      </c>
      <c r="G453" s="63"/>
      <c r="H453" s="67"/>
      <c r="I453" s="68"/>
      <c r="J453" s="68"/>
      <c r="K453" s="31" t="s">
        <v>65</v>
      </c>
      <c r="L453" s="76">
        <v>453</v>
      </c>
      <c r="M453" s="76"/>
      <c r="N453" s="70"/>
      <c r="O453" s="78" t="s">
        <v>305</v>
      </c>
      <c r="P453" s="78" t="s">
        <v>448</v>
      </c>
      <c r="Q453" s="78" t="s">
        <v>899</v>
      </c>
      <c r="R453" s="78" t="s">
        <v>1422</v>
      </c>
      <c r="S453" s="78"/>
      <c r="T453" s="78"/>
      <c r="U453" s="78"/>
      <c r="V453" s="78"/>
      <c r="W453" s="81" t="s">
        <v>1674</v>
      </c>
      <c r="X453" s="81" t="s">
        <v>1674</v>
      </c>
      <c r="Y453" s="78"/>
      <c r="Z453" s="78"/>
      <c r="AA453" s="81" t="s">
        <v>1674</v>
      </c>
      <c r="AB453" s="79">
        <v>3</v>
      </c>
      <c r="AC453" s="80" t="str">
        <f>REPLACE(INDEX(GroupVertices[Group],MATCH("~"&amp;Edges[[#This Row],[Vertex 1]],GroupVertices[Vertex],0)),1,1,"")</f>
        <v>1</v>
      </c>
      <c r="AD453" s="80" t="str">
        <f>REPLACE(INDEX(GroupVertices[Group],MATCH("~"&amp;Edges[[#This Row],[Vertex 2]],GroupVertices[Vertex],0)),1,1,"")</f>
        <v>1</v>
      </c>
      <c r="AE453" s="105"/>
      <c r="AF453" s="105"/>
      <c r="AG453" s="105"/>
      <c r="AH453" s="105"/>
      <c r="AI453" s="105"/>
      <c r="AJ453" s="105"/>
      <c r="AK453" s="105"/>
      <c r="AL453" s="105"/>
      <c r="AM453" s="105"/>
    </row>
    <row r="454" spans="1:39" ht="15">
      <c r="A454" s="62" t="s">
        <v>259</v>
      </c>
      <c r="B454" s="62" t="s">
        <v>302</v>
      </c>
      <c r="C454" s="63" t="s">
        <v>3598</v>
      </c>
      <c r="D454" s="64">
        <v>5.2631578947368425</v>
      </c>
      <c r="E454" s="65" t="s">
        <v>136</v>
      </c>
      <c r="F454" s="66">
        <v>31.50943396226415</v>
      </c>
      <c r="G454" s="63"/>
      <c r="H454" s="67"/>
      <c r="I454" s="68"/>
      <c r="J454" s="68"/>
      <c r="K454" s="31" t="s">
        <v>65</v>
      </c>
      <c r="L454" s="76">
        <v>454</v>
      </c>
      <c r="M454" s="76"/>
      <c r="N454" s="70"/>
      <c r="O454" s="78" t="s">
        <v>305</v>
      </c>
      <c r="P454" s="78" t="s">
        <v>449</v>
      </c>
      <c r="Q454" s="78" t="s">
        <v>900</v>
      </c>
      <c r="R454" s="78" t="s">
        <v>1423</v>
      </c>
      <c r="S454" s="78"/>
      <c r="T454" s="78"/>
      <c r="U454" s="78"/>
      <c r="V454" s="78"/>
      <c r="W454" s="81" t="s">
        <v>1674</v>
      </c>
      <c r="X454" s="81" t="s">
        <v>1674</v>
      </c>
      <c r="Y454" s="78"/>
      <c r="Z454" s="78"/>
      <c r="AA454" s="81" t="s">
        <v>1674</v>
      </c>
      <c r="AB454" s="79">
        <v>2</v>
      </c>
      <c r="AC454" s="80" t="str">
        <f>REPLACE(INDEX(GroupVertices[Group],MATCH("~"&amp;Edges[[#This Row],[Vertex 1]],GroupVertices[Vertex],0)),1,1,"")</f>
        <v>1</v>
      </c>
      <c r="AD454" s="80" t="str">
        <f>REPLACE(INDEX(GroupVertices[Group],MATCH("~"&amp;Edges[[#This Row],[Vertex 2]],GroupVertices[Vertex],0)),1,1,"")</f>
        <v>1</v>
      </c>
      <c r="AE454" s="105"/>
      <c r="AF454" s="105"/>
      <c r="AG454" s="105"/>
      <c r="AH454" s="105"/>
      <c r="AI454" s="105"/>
      <c r="AJ454" s="105"/>
      <c r="AK454" s="105"/>
      <c r="AL454" s="105"/>
      <c r="AM454" s="105"/>
    </row>
    <row r="455" spans="1:39" ht="15">
      <c r="A455" s="62" t="s">
        <v>259</v>
      </c>
      <c r="B455" s="62" t="s">
        <v>302</v>
      </c>
      <c r="C455" s="63" t="s">
        <v>3598</v>
      </c>
      <c r="D455" s="64">
        <v>5.2631578947368425</v>
      </c>
      <c r="E455" s="65" t="s">
        <v>136</v>
      </c>
      <c r="F455" s="66">
        <v>31.50943396226415</v>
      </c>
      <c r="G455" s="63"/>
      <c r="H455" s="67"/>
      <c r="I455" s="68"/>
      <c r="J455" s="68"/>
      <c r="K455" s="31" t="s">
        <v>65</v>
      </c>
      <c r="L455" s="76">
        <v>455</v>
      </c>
      <c r="M455" s="76"/>
      <c r="N455" s="70"/>
      <c r="O455" s="78" t="s">
        <v>305</v>
      </c>
      <c r="P455" s="78" t="s">
        <v>449</v>
      </c>
      <c r="Q455" s="78" t="s">
        <v>901</v>
      </c>
      <c r="R455" s="78" t="s">
        <v>1423</v>
      </c>
      <c r="S455" s="78"/>
      <c r="T455" s="78"/>
      <c r="U455" s="78"/>
      <c r="V455" s="78"/>
      <c r="W455" s="81" t="s">
        <v>1674</v>
      </c>
      <c r="X455" s="81" t="s">
        <v>1674</v>
      </c>
      <c r="Y455" s="78"/>
      <c r="Z455" s="78"/>
      <c r="AA455" s="81" t="s">
        <v>1674</v>
      </c>
      <c r="AB455" s="79">
        <v>2</v>
      </c>
      <c r="AC455" s="80" t="str">
        <f>REPLACE(INDEX(GroupVertices[Group],MATCH("~"&amp;Edges[[#This Row],[Vertex 1]],GroupVertices[Vertex],0)),1,1,"")</f>
        <v>1</v>
      </c>
      <c r="AD455" s="80" t="str">
        <f>REPLACE(INDEX(GroupVertices[Group],MATCH("~"&amp;Edges[[#This Row],[Vertex 2]],GroupVertices[Vertex],0)),1,1,"")</f>
        <v>1</v>
      </c>
      <c r="AE455" s="105"/>
      <c r="AF455" s="105"/>
      <c r="AG455" s="105"/>
      <c r="AH455" s="105"/>
      <c r="AI455" s="105"/>
      <c r="AJ455" s="105"/>
      <c r="AK455" s="105"/>
      <c r="AL455" s="105"/>
      <c r="AM455" s="105"/>
    </row>
    <row r="456" spans="1:39" ht="15">
      <c r="A456" s="62" t="s">
        <v>235</v>
      </c>
      <c r="B456" s="62" t="s">
        <v>302</v>
      </c>
      <c r="C456" s="63" t="s">
        <v>3598</v>
      </c>
      <c r="D456" s="64">
        <v>5</v>
      </c>
      <c r="E456" s="65" t="s">
        <v>132</v>
      </c>
      <c r="F456" s="66">
        <v>32</v>
      </c>
      <c r="G456" s="63"/>
      <c r="H456" s="67"/>
      <c r="I456" s="68"/>
      <c r="J456" s="68"/>
      <c r="K456" s="31" t="s">
        <v>65</v>
      </c>
      <c r="L456" s="76">
        <v>456</v>
      </c>
      <c r="M456" s="76"/>
      <c r="N456" s="70"/>
      <c r="O456" s="78" t="s">
        <v>305</v>
      </c>
      <c r="P456" s="78" t="s">
        <v>449</v>
      </c>
      <c r="Q456" s="78" t="s">
        <v>902</v>
      </c>
      <c r="R456" s="78" t="s">
        <v>1423</v>
      </c>
      <c r="S456" s="78"/>
      <c r="T456" s="78"/>
      <c r="U456" s="78"/>
      <c r="V456" s="78"/>
      <c r="W456" s="81" t="s">
        <v>1674</v>
      </c>
      <c r="X456" s="81" t="s">
        <v>1674</v>
      </c>
      <c r="Y456" s="78"/>
      <c r="Z456" s="78"/>
      <c r="AA456" s="81" t="s">
        <v>1674</v>
      </c>
      <c r="AB456" s="79">
        <v>1</v>
      </c>
      <c r="AC456" s="80" t="str">
        <f>REPLACE(INDEX(GroupVertices[Group],MATCH("~"&amp;Edges[[#This Row],[Vertex 1]],GroupVertices[Vertex],0)),1,1,"")</f>
        <v>1</v>
      </c>
      <c r="AD456" s="80" t="str">
        <f>REPLACE(INDEX(GroupVertices[Group],MATCH("~"&amp;Edges[[#This Row],[Vertex 2]],GroupVertices[Vertex],0)),1,1,"")</f>
        <v>1</v>
      </c>
      <c r="AE456" s="105"/>
      <c r="AF456" s="105"/>
      <c r="AG456" s="105"/>
      <c r="AH456" s="105"/>
      <c r="AI456" s="105"/>
      <c r="AJ456" s="105"/>
      <c r="AK456" s="105"/>
      <c r="AL456" s="105"/>
      <c r="AM456" s="105"/>
    </row>
    <row r="457" spans="1:39" ht="15">
      <c r="A457" s="62" t="s">
        <v>278</v>
      </c>
      <c r="B457" s="62" t="s">
        <v>302</v>
      </c>
      <c r="C457" s="63" t="s">
        <v>3598</v>
      </c>
      <c r="D457" s="64">
        <v>5</v>
      </c>
      <c r="E457" s="65" t="s">
        <v>132</v>
      </c>
      <c r="F457" s="66">
        <v>32</v>
      </c>
      <c r="G457" s="63"/>
      <c r="H457" s="67"/>
      <c r="I457" s="68"/>
      <c r="J457" s="68"/>
      <c r="K457" s="31" t="s">
        <v>65</v>
      </c>
      <c r="L457" s="76">
        <v>457</v>
      </c>
      <c r="M457" s="76"/>
      <c r="N457" s="70"/>
      <c r="O457" s="78" t="s">
        <v>305</v>
      </c>
      <c r="P457" s="78" t="s">
        <v>449</v>
      </c>
      <c r="Q457" s="78" t="s">
        <v>903</v>
      </c>
      <c r="R457" s="78" t="s">
        <v>1423</v>
      </c>
      <c r="S457" s="78"/>
      <c r="T457" s="78"/>
      <c r="U457" s="78"/>
      <c r="V457" s="78"/>
      <c r="W457" s="81" t="s">
        <v>1674</v>
      </c>
      <c r="X457" s="81" t="s">
        <v>1674</v>
      </c>
      <c r="Y457" s="78"/>
      <c r="Z457" s="78"/>
      <c r="AA457" s="81" t="s">
        <v>1674</v>
      </c>
      <c r="AB457" s="79">
        <v>1</v>
      </c>
      <c r="AC457" s="80" t="str">
        <f>REPLACE(INDEX(GroupVertices[Group],MATCH("~"&amp;Edges[[#This Row],[Vertex 1]],GroupVertices[Vertex],0)),1,1,"")</f>
        <v>1</v>
      </c>
      <c r="AD457" s="80" t="str">
        <f>REPLACE(INDEX(GroupVertices[Group],MATCH("~"&amp;Edges[[#This Row],[Vertex 2]],GroupVertices[Vertex],0)),1,1,"")</f>
        <v>1</v>
      </c>
      <c r="AE457" s="105"/>
      <c r="AF457" s="105"/>
      <c r="AG457" s="105"/>
      <c r="AH457" s="105"/>
      <c r="AI457" s="105"/>
      <c r="AJ457" s="105"/>
      <c r="AK457" s="105"/>
      <c r="AL457" s="105"/>
      <c r="AM457" s="105"/>
    </row>
    <row r="458" spans="1:39" ht="15">
      <c r="A458" s="62" t="s">
        <v>269</v>
      </c>
      <c r="B458" s="62" t="s">
        <v>294</v>
      </c>
      <c r="C458" s="63" t="s">
        <v>3598</v>
      </c>
      <c r="D458" s="64">
        <v>5</v>
      </c>
      <c r="E458" s="65" t="s">
        <v>132</v>
      </c>
      <c r="F458" s="66">
        <v>32</v>
      </c>
      <c r="G458" s="63"/>
      <c r="H458" s="67"/>
      <c r="I458" s="68"/>
      <c r="J458" s="68"/>
      <c r="K458" s="31" t="s">
        <v>65</v>
      </c>
      <c r="L458" s="76">
        <v>458</v>
      </c>
      <c r="M458" s="76"/>
      <c r="N458" s="70"/>
      <c r="O458" s="78" t="s">
        <v>305</v>
      </c>
      <c r="P458" s="78" t="s">
        <v>450</v>
      </c>
      <c r="Q458" s="78" t="s">
        <v>904</v>
      </c>
      <c r="R458" s="78" t="s">
        <v>1424</v>
      </c>
      <c r="S458" s="78"/>
      <c r="T458" s="78"/>
      <c r="U458" s="78"/>
      <c r="V458" s="78"/>
      <c r="W458" s="81" t="s">
        <v>1674</v>
      </c>
      <c r="X458" s="81" t="s">
        <v>1674</v>
      </c>
      <c r="Y458" s="78"/>
      <c r="Z458" s="78"/>
      <c r="AA458" s="81" t="s">
        <v>1674</v>
      </c>
      <c r="AB458" s="79">
        <v>1</v>
      </c>
      <c r="AC458" s="80" t="str">
        <f>REPLACE(INDEX(GroupVertices[Group],MATCH("~"&amp;Edges[[#This Row],[Vertex 1]],GroupVertices[Vertex],0)),1,1,"")</f>
        <v>2</v>
      </c>
      <c r="AD458" s="80" t="str">
        <f>REPLACE(INDEX(GroupVertices[Group],MATCH("~"&amp;Edges[[#This Row],[Vertex 2]],GroupVertices[Vertex],0)),1,1,"")</f>
        <v>2</v>
      </c>
      <c r="AE458" s="105"/>
      <c r="AF458" s="105"/>
      <c r="AG458" s="105"/>
      <c r="AH458" s="105"/>
      <c r="AI458" s="105"/>
      <c r="AJ458" s="105"/>
      <c r="AK458" s="105"/>
      <c r="AL458" s="105"/>
      <c r="AM458" s="105"/>
    </row>
    <row r="459" spans="1:39" ht="15">
      <c r="A459" s="62" t="s">
        <v>269</v>
      </c>
      <c r="B459" s="62" t="s">
        <v>249</v>
      </c>
      <c r="C459" s="63" t="s">
        <v>3598</v>
      </c>
      <c r="D459" s="64">
        <v>5</v>
      </c>
      <c r="E459" s="65" t="s">
        <v>132</v>
      </c>
      <c r="F459" s="66">
        <v>32</v>
      </c>
      <c r="G459" s="63"/>
      <c r="H459" s="67"/>
      <c r="I459" s="68"/>
      <c r="J459" s="68"/>
      <c r="K459" s="31" t="s">
        <v>65</v>
      </c>
      <c r="L459" s="76">
        <v>459</v>
      </c>
      <c r="M459" s="76"/>
      <c r="N459" s="70"/>
      <c r="O459" s="78" t="s">
        <v>305</v>
      </c>
      <c r="P459" s="78" t="s">
        <v>451</v>
      </c>
      <c r="Q459" s="78" t="s">
        <v>905</v>
      </c>
      <c r="R459" s="78" t="s">
        <v>1425</v>
      </c>
      <c r="S459" s="78"/>
      <c r="T459" s="78"/>
      <c r="U459" s="78"/>
      <c r="V459" s="78"/>
      <c r="W459" s="81" t="s">
        <v>1674</v>
      </c>
      <c r="X459" s="81" t="s">
        <v>1674</v>
      </c>
      <c r="Y459" s="78"/>
      <c r="Z459" s="78"/>
      <c r="AA459" s="81" t="s">
        <v>1674</v>
      </c>
      <c r="AB459" s="79">
        <v>1</v>
      </c>
      <c r="AC459" s="80" t="str">
        <f>REPLACE(INDEX(GroupVertices[Group],MATCH("~"&amp;Edges[[#This Row],[Vertex 1]],GroupVertices[Vertex],0)),1,1,"")</f>
        <v>2</v>
      </c>
      <c r="AD459" s="80" t="str">
        <f>REPLACE(INDEX(GroupVertices[Group],MATCH("~"&amp;Edges[[#This Row],[Vertex 2]],GroupVertices[Vertex],0)),1,1,"")</f>
        <v>2</v>
      </c>
      <c r="AE459" s="105"/>
      <c r="AF459" s="105"/>
      <c r="AG459" s="105"/>
      <c r="AH459" s="105"/>
      <c r="AI459" s="105"/>
      <c r="AJ459" s="105"/>
      <c r="AK459" s="105"/>
      <c r="AL459" s="105"/>
      <c r="AM459" s="105"/>
    </row>
    <row r="460" spans="1:39" ht="15">
      <c r="A460" s="62" t="s">
        <v>269</v>
      </c>
      <c r="B460" s="62" t="s">
        <v>270</v>
      </c>
      <c r="C460" s="63" t="s">
        <v>3598</v>
      </c>
      <c r="D460" s="64">
        <v>5</v>
      </c>
      <c r="E460" s="65" t="s">
        <v>132</v>
      </c>
      <c r="F460" s="66">
        <v>32</v>
      </c>
      <c r="G460" s="63"/>
      <c r="H460" s="67"/>
      <c r="I460" s="68"/>
      <c r="J460" s="68"/>
      <c r="K460" s="31" t="s">
        <v>65</v>
      </c>
      <c r="L460" s="76">
        <v>460</v>
      </c>
      <c r="M460" s="76"/>
      <c r="N460" s="70"/>
      <c r="O460" s="78" t="s">
        <v>305</v>
      </c>
      <c r="P460" s="78" t="s">
        <v>452</v>
      </c>
      <c r="Q460" s="78" t="s">
        <v>906</v>
      </c>
      <c r="R460" s="78" t="s">
        <v>1426</v>
      </c>
      <c r="S460" s="78"/>
      <c r="T460" s="78"/>
      <c r="U460" s="78"/>
      <c r="V460" s="78"/>
      <c r="W460" s="81" t="s">
        <v>1674</v>
      </c>
      <c r="X460" s="81" t="s">
        <v>1674</v>
      </c>
      <c r="Y460" s="78"/>
      <c r="Z460" s="78"/>
      <c r="AA460" s="81" t="s">
        <v>1674</v>
      </c>
      <c r="AB460" s="79">
        <v>1</v>
      </c>
      <c r="AC460" s="80" t="str">
        <f>REPLACE(INDEX(GroupVertices[Group],MATCH("~"&amp;Edges[[#This Row],[Vertex 1]],GroupVertices[Vertex],0)),1,1,"")</f>
        <v>2</v>
      </c>
      <c r="AD460" s="80" t="str">
        <f>REPLACE(INDEX(GroupVertices[Group],MATCH("~"&amp;Edges[[#This Row],[Vertex 2]],GroupVertices[Vertex],0)),1,1,"")</f>
        <v>2</v>
      </c>
      <c r="AE460" s="105"/>
      <c r="AF460" s="105"/>
      <c r="AG460" s="105"/>
      <c r="AH460" s="105"/>
      <c r="AI460" s="105"/>
      <c r="AJ460" s="105"/>
      <c r="AK460" s="105"/>
      <c r="AL460" s="105"/>
      <c r="AM460" s="105"/>
    </row>
    <row r="461" spans="1:39" ht="15">
      <c r="A461" s="62" t="s">
        <v>269</v>
      </c>
      <c r="B461" s="62" t="s">
        <v>268</v>
      </c>
      <c r="C461" s="63" t="s">
        <v>3598</v>
      </c>
      <c r="D461" s="64">
        <v>5</v>
      </c>
      <c r="E461" s="65" t="s">
        <v>132</v>
      </c>
      <c r="F461" s="66">
        <v>32</v>
      </c>
      <c r="G461" s="63"/>
      <c r="H461" s="67"/>
      <c r="I461" s="68"/>
      <c r="J461" s="68"/>
      <c r="K461" s="31" t="s">
        <v>65</v>
      </c>
      <c r="L461" s="76">
        <v>461</v>
      </c>
      <c r="M461" s="76"/>
      <c r="N461" s="70"/>
      <c r="O461" s="78" t="s">
        <v>305</v>
      </c>
      <c r="P461" s="78" t="s">
        <v>453</v>
      </c>
      <c r="Q461" s="78" t="s">
        <v>907</v>
      </c>
      <c r="R461" s="78" t="s">
        <v>1427</v>
      </c>
      <c r="S461" s="78"/>
      <c r="T461" s="78"/>
      <c r="U461" s="78"/>
      <c r="V461" s="78"/>
      <c r="W461" s="81" t="s">
        <v>1674</v>
      </c>
      <c r="X461" s="81" t="s">
        <v>1674</v>
      </c>
      <c r="Y461" s="78"/>
      <c r="Z461" s="78"/>
      <c r="AA461" s="81" t="s">
        <v>1674</v>
      </c>
      <c r="AB461" s="79">
        <v>1</v>
      </c>
      <c r="AC461" s="80" t="str">
        <f>REPLACE(INDEX(GroupVertices[Group],MATCH("~"&amp;Edges[[#This Row],[Vertex 1]],GroupVertices[Vertex],0)),1,1,"")</f>
        <v>2</v>
      </c>
      <c r="AD461" s="80" t="str">
        <f>REPLACE(INDEX(GroupVertices[Group],MATCH("~"&amp;Edges[[#This Row],[Vertex 2]],GroupVertices[Vertex],0)),1,1,"")</f>
        <v>6</v>
      </c>
      <c r="AE461" s="105"/>
      <c r="AF461" s="105"/>
      <c r="AG461" s="105"/>
      <c r="AH461" s="105"/>
      <c r="AI461" s="105"/>
      <c r="AJ461" s="105"/>
      <c r="AK461" s="105"/>
      <c r="AL461" s="105"/>
      <c r="AM461" s="105"/>
    </row>
    <row r="462" spans="1:39" ht="15">
      <c r="A462" s="62" t="s">
        <v>269</v>
      </c>
      <c r="B462" s="62" t="s">
        <v>256</v>
      </c>
      <c r="C462" s="63" t="s">
        <v>3598</v>
      </c>
      <c r="D462" s="64">
        <v>5</v>
      </c>
      <c r="E462" s="65" t="s">
        <v>132</v>
      </c>
      <c r="F462" s="66">
        <v>32</v>
      </c>
      <c r="G462" s="63"/>
      <c r="H462" s="67"/>
      <c r="I462" s="68"/>
      <c r="J462" s="68"/>
      <c r="K462" s="31" t="s">
        <v>65</v>
      </c>
      <c r="L462" s="76">
        <v>462</v>
      </c>
      <c r="M462" s="76"/>
      <c r="N462" s="70"/>
      <c r="O462" s="78" t="s">
        <v>305</v>
      </c>
      <c r="P462" s="78" t="s">
        <v>453</v>
      </c>
      <c r="Q462" s="78" t="s">
        <v>907</v>
      </c>
      <c r="R462" s="78" t="s">
        <v>980</v>
      </c>
      <c r="S462" s="78"/>
      <c r="T462" s="78"/>
      <c r="U462" s="78"/>
      <c r="V462" s="78"/>
      <c r="W462" s="81" t="s">
        <v>1674</v>
      </c>
      <c r="X462" s="81" t="s">
        <v>1674</v>
      </c>
      <c r="Y462" s="78"/>
      <c r="Z462" s="78"/>
      <c r="AA462" s="81" t="s">
        <v>1674</v>
      </c>
      <c r="AB462" s="79">
        <v>1</v>
      </c>
      <c r="AC462" s="80" t="str">
        <f>REPLACE(INDEX(GroupVertices[Group],MATCH("~"&amp;Edges[[#This Row],[Vertex 1]],GroupVertices[Vertex],0)),1,1,"")</f>
        <v>2</v>
      </c>
      <c r="AD462" s="80" t="str">
        <f>REPLACE(INDEX(GroupVertices[Group],MATCH("~"&amp;Edges[[#This Row],[Vertex 2]],GroupVertices[Vertex],0)),1,1,"")</f>
        <v>1</v>
      </c>
      <c r="AE462" s="105"/>
      <c r="AF462" s="105"/>
      <c r="AG462" s="105"/>
      <c r="AH462" s="105"/>
      <c r="AI462" s="105"/>
      <c r="AJ462" s="105"/>
      <c r="AK462" s="105"/>
      <c r="AL462" s="105"/>
      <c r="AM462" s="105"/>
    </row>
    <row r="463" spans="1:39" ht="15">
      <c r="A463" s="62" t="s">
        <v>235</v>
      </c>
      <c r="B463" s="62" t="s">
        <v>269</v>
      </c>
      <c r="C463" s="63" t="s">
        <v>3598</v>
      </c>
      <c r="D463" s="64">
        <v>5.2631578947368425</v>
      </c>
      <c r="E463" s="65" t="s">
        <v>136</v>
      </c>
      <c r="F463" s="66">
        <v>31.50943396226415</v>
      </c>
      <c r="G463" s="63"/>
      <c r="H463" s="67"/>
      <c r="I463" s="68"/>
      <c r="J463" s="68"/>
      <c r="K463" s="31" t="s">
        <v>65</v>
      </c>
      <c r="L463" s="76">
        <v>463</v>
      </c>
      <c r="M463" s="76"/>
      <c r="N463" s="70"/>
      <c r="O463" s="78" t="s">
        <v>305</v>
      </c>
      <c r="P463" s="78" t="s">
        <v>453</v>
      </c>
      <c r="Q463" s="78" t="s">
        <v>908</v>
      </c>
      <c r="R463" s="78" t="s">
        <v>907</v>
      </c>
      <c r="S463" s="78"/>
      <c r="T463" s="78"/>
      <c r="U463" s="78"/>
      <c r="V463" s="78"/>
      <c r="W463" s="81" t="s">
        <v>1674</v>
      </c>
      <c r="X463" s="81" t="s">
        <v>1674</v>
      </c>
      <c r="Y463" s="78"/>
      <c r="Z463" s="78"/>
      <c r="AA463" s="81" t="s">
        <v>1674</v>
      </c>
      <c r="AB463" s="79">
        <v>2</v>
      </c>
      <c r="AC463" s="80" t="str">
        <f>REPLACE(INDEX(GroupVertices[Group],MATCH("~"&amp;Edges[[#This Row],[Vertex 1]],GroupVertices[Vertex],0)),1,1,"")</f>
        <v>1</v>
      </c>
      <c r="AD463" s="80" t="str">
        <f>REPLACE(INDEX(GroupVertices[Group],MATCH("~"&amp;Edges[[#This Row],[Vertex 2]],GroupVertices[Vertex],0)),1,1,"")</f>
        <v>2</v>
      </c>
      <c r="AE463" s="105"/>
      <c r="AF463" s="105"/>
      <c r="AG463" s="105"/>
      <c r="AH463" s="105"/>
      <c r="AI463" s="105"/>
      <c r="AJ463" s="105"/>
      <c r="AK463" s="105"/>
      <c r="AL463" s="105"/>
      <c r="AM463" s="105"/>
    </row>
    <row r="464" spans="1:39" ht="15">
      <c r="A464" s="62" t="s">
        <v>235</v>
      </c>
      <c r="B464" s="62" t="s">
        <v>269</v>
      </c>
      <c r="C464" s="63" t="s">
        <v>3598</v>
      </c>
      <c r="D464" s="64">
        <v>5.2631578947368425</v>
      </c>
      <c r="E464" s="65" t="s">
        <v>136</v>
      </c>
      <c r="F464" s="66">
        <v>31.50943396226415</v>
      </c>
      <c r="G464" s="63"/>
      <c r="H464" s="67"/>
      <c r="I464" s="68"/>
      <c r="J464" s="68"/>
      <c r="K464" s="31" t="s">
        <v>65</v>
      </c>
      <c r="L464" s="76">
        <v>464</v>
      </c>
      <c r="M464" s="76"/>
      <c r="N464" s="70"/>
      <c r="O464" s="78" t="s">
        <v>305</v>
      </c>
      <c r="P464" s="78" t="s">
        <v>454</v>
      </c>
      <c r="Q464" s="78" t="s">
        <v>909</v>
      </c>
      <c r="R464" s="78" t="s">
        <v>1428</v>
      </c>
      <c r="S464" s="78"/>
      <c r="T464" s="78"/>
      <c r="U464" s="78"/>
      <c r="V464" s="78"/>
      <c r="W464" s="81" t="s">
        <v>1674</v>
      </c>
      <c r="X464" s="81" t="s">
        <v>1674</v>
      </c>
      <c r="Y464" s="78"/>
      <c r="Z464" s="78"/>
      <c r="AA464" s="81" t="s">
        <v>1674</v>
      </c>
      <c r="AB464" s="79">
        <v>2</v>
      </c>
      <c r="AC464" s="80" t="str">
        <f>REPLACE(INDEX(GroupVertices[Group],MATCH("~"&amp;Edges[[#This Row],[Vertex 1]],GroupVertices[Vertex],0)),1,1,"")</f>
        <v>1</v>
      </c>
      <c r="AD464" s="80" t="str">
        <f>REPLACE(INDEX(GroupVertices[Group],MATCH("~"&amp;Edges[[#This Row],[Vertex 2]],GroupVertices[Vertex],0)),1,1,"")</f>
        <v>2</v>
      </c>
      <c r="AE464" s="105"/>
      <c r="AF464" s="105"/>
      <c r="AG464" s="105"/>
      <c r="AH464" s="105"/>
      <c r="AI464" s="105"/>
      <c r="AJ464" s="105"/>
      <c r="AK464" s="105"/>
      <c r="AL464" s="105"/>
      <c r="AM464" s="105"/>
    </row>
    <row r="465" spans="1:39" ht="15">
      <c r="A465" s="62" t="s">
        <v>278</v>
      </c>
      <c r="B465" s="62" t="s">
        <v>269</v>
      </c>
      <c r="C465" s="63" t="s">
        <v>3603</v>
      </c>
      <c r="D465" s="64">
        <v>5.7894736842105265</v>
      </c>
      <c r="E465" s="65" t="s">
        <v>136</v>
      </c>
      <c r="F465" s="66">
        <v>30.528301886792452</v>
      </c>
      <c r="G465" s="63"/>
      <c r="H465" s="67"/>
      <c r="I465" s="68"/>
      <c r="J465" s="68"/>
      <c r="K465" s="31" t="s">
        <v>65</v>
      </c>
      <c r="L465" s="76">
        <v>465</v>
      </c>
      <c r="M465" s="76"/>
      <c r="N465" s="70"/>
      <c r="O465" s="78" t="s">
        <v>305</v>
      </c>
      <c r="P465" s="78" t="s">
        <v>453</v>
      </c>
      <c r="Q465" s="78" t="s">
        <v>910</v>
      </c>
      <c r="R465" s="78" t="s">
        <v>907</v>
      </c>
      <c r="S465" s="78"/>
      <c r="T465" s="78"/>
      <c r="U465" s="78"/>
      <c r="V465" s="78"/>
      <c r="W465" s="81" t="s">
        <v>1674</v>
      </c>
      <c r="X465" s="81" t="s">
        <v>1674</v>
      </c>
      <c r="Y465" s="78"/>
      <c r="Z465" s="78"/>
      <c r="AA465" s="81" t="s">
        <v>1674</v>
      </c>
      <c r="AB465" s="79">
        <v>4</v>
      </c>
      <c r="AC465" s="80" t="str">
        <f>REPLACE(INDEX(GroupVertices[Group],MATCH("~"&amp;Edges[[#This Row],[Vertex 1]],GroupVertices[Vertex],0)),1,1,"")</f>
        <v>1</v>
      </c>
      <c r="AD465" s="80" t="str">
        <f>REPLACE(INDEX(GroupVertices[Group],MATCH("~"&amp;Edges[[#This Row],[Vertex 2]],GroupVertices[Vertex],0)),1,1,"")</f>
        <v>2</v>
      </c>
      <c r="AE465" s="105"/>
      <c r="AF465" s="105"/>
      <c r="AG465" s="105"/>
      <c r="AH465" s="105"/>
      <c r="AI465" s="105"/>
      <c r="AJ465" s="105"/>
      <c r="AK465" s="105"/>
      <c r="AL465" s="105"/>
      <c r="AM465" s="105"/>
    </row>
    <row r="466" spans="1:39" ht="15">
      <c r="A466" s="62" t="s">
        <v>278</v>
      </c>
      <c r="B466" s="62" t="s">
        <v>269</v>
      </c>
      <c r="C466" s="63" t="s">
        <v>3603</v>
      </c>
      <c r="D466" s="64">
        <v>5.7894736842105265</v>
      </c>
      <c r="E466" s="65" t="s">
        <v>136</v>
      </c>
      <c r="F466" s="66">
        <v>30.528301886792452</v>
      </c>
      <c r="G466" s="63"/>
      <c r="H466" s="67"/>
      <c r="I466" s="68"/>
      <c r="J466" s="68"/>
      <c r="K466" s="31" t="s">
        <v>65</v>
      </c>
      <c r="L466" s="76">
        <v>466</v>
      </c>
      <c r="M466" s="76"/>
      <c r="N466" s="70"/>
      <c r="O466" s="78" t="s">
        <v>305</v>
      </c>
      <c r="P466" s="78" t="s">
        <v>455</v>
      </c>
      <c r="Q466" s="78" t="s">
        <v>911</v>
      </c>
      <c r="R466" s="78" t="s">
        <v>1429</v>
      </c>
      <c r="S466" s="78"/>
      <c r="T466" s="78"/>
      <c r="U466" s="78"/>
      <c r="V466" s="78"/>
      <c r="W466" s="81" t="s">
        <v>1674</v>
      </c>
      <c r="X466" s="81" t="s">
        <v>1674</v>
      </c>
      <c r="Y466" s="78"/>
      <c r="Z466" s="78"/>
      <c r="AA466" s="81" t="s">
        <v>1674</v>
      </c>
      <c r="AB466" s="79">
        <v>4</v>
      </c>
      <c r="AC466" s="80" t="str">
        <f>REPLACE(INDEX(GroupVertices[Group],MATCH("~"&amp;Edges[[#This Row],[Vertex 1]],GroupVertices[Vertex],0)),1,1,"")</f>
        <v>1</v>
      </c>
      <c r="AD466" s="80" t="str">
        <f>REPLACE(INDEX(GroupVertices[Group],MATCH("~"&amp;Edges[[#This Row],[Vertex 2]],GroupVertices[Vertex],0)),1,1,"")</f>
        <v>2</v>
      </c>
      <c r="AE466" s="105"/>
      <c r="AF466" s="105"/>
      <c r="AG466" s="105"/>
      <c r="AH466" s="105"/>
      <c r="AI466" s="105"/>
      <c r="AJ466" s="105"/>
      <c r="AK466" s="105"/>
      <c r="AL466" s="105"/>
      <c r="AM466" s="105"/>
    </row>
    <row r="467" spans="1:39" ht="15">
      <c r="A467" s="62" t="s">
        <v>278</v>
      </c>
      <c r="B467" s="62" t="s">
        <v>269</v>
      </c>
      <c r="C467" s="63" t="s">
        <v>3603</v>
      </c>
      <c r="D467" s="64">
        <v>5.7894736842105265</v>
      </c>
      <c r="E467" s="65" t="s">
        <v>136</v>
      </c>
      <c r="F467" s="66">
        <v>30.528301886792452</v>
      </c>
      <c r="G467" s="63"/>
      <c r="H467" s="67"/>
      <c r="I467" s="68"/>
      <c r="J467" s="68"/>
      <c r="K467" s="31" t="s">
        <v>65</v>
      </c>
      <c r="L467" s="76">
        <v>467</v>
      </c>
      <c r="M467" s="76"/>
      <c r="N467" s="70"/>
      <c r="O467" s="78" t="s">
        <v>305</v>
      </c>
      <c r="P467" s="78" t="s">
        <v>455</v>
      </c>
      <c r="Q467" s="78" t="s">
        <v>912</v>
      </c>
      <c r="R467" s="78" t="s">
        <v>1429</v>
      </c>
      <c r="S467" s="78"/>
      <c r="T467" s="78"/>
      <c r="U467" s="78"/>
      <c r="V467" s="78"/>
      <c r="W467" s="81" t="s">
        <v>1674</v>
      </c>
      <c r="X467" s="81" t="s">
        <v>1674</v>
      </c>
      <c r="Y467" s="78"/>
      <c r="Z467" s="78"/>
      <c r="AA467" s="81" t="s">
        <v>1674</v>
      </c>
      <c r="AB467" s="79">
        <v>4</v>
      </c>
      <c r="AC467" s="80" t="str">
        <f>REPLACE(INDEX(GroupVertices[Group],MATCH("~"&amp;Edges[[#This Row],[Vertex 1]],GroupVertices[Vertex],0)),1,1,"")</f>
        <v>1</v>
      </c>
      <c r="AD467" s="80" t="str">
        <f>REPLACE(INDEX(GroupVertices[Group],MATCH("~"&amp;Edges[[#This Row],[Vertex 2]],GroupVertices[Vertex],0)),1,1,"")</f>
        <v>2</v>
      </c>
      <c r="AE467" s="105"/>
      <c r="AF467" s="105"/>
      <c r="AG467" s="105"/>
      <c r="AH467" s="105"/>
      <c r="AI467" s="105"/>
      <c r="AJ467" s="105"/>
      <c r="AK467" s="105"/>
      <c r="AL467" s="105"/>
      <c r="AM467" s="105"/>
    </row>
    <row r="468" spans="1:39" ht="15">
      <c r="A468" s="62" t="s">
        <v>278</v>
      </c>
      <c r="B468" s="62" t="s">
        <v>269</v>
      </c>
      <c r="C468" s="63" t="s">
        <v>3603</v>
      </c>
      <c r="D468" s="64">
        <v>5.7894736842105265</v>
      </c>
      <c r="E468" s="65" t="s">
        <v>136</v>
      </c>
      <c r="F468" s="66">
        <v>30.528301886792452</v>
      </c>
      <c r="G468" s="63"/>
      <c r="H468" s="67"/>
      <c r="I468" s="68"/>
      <c r="J468" s="68"/>
      <c r="K468" s="31" t="s">
        <v>65</v>
      </c>
      <c r="L468" s="76">
        <v>468</v>
      </c>
      <c r="M468" s="76"/>
      <c r="N468" s="70"/>
      <c r="O468" s="78" t="s">
        <v>305</v>
      </c>
      <c r="P468" s="78" t="s">
        <v>456</v>
      </c>
      <c r="Q468" s="78" t="s">
        <v>913</v>
      </c>
      <c r="R468" s="78" t="s">
        <v>1430</v>
      </c>
      <c r="S468" s="78"/>
      <c r="T468" s="78"/>
      <c r="U468" s="78"/>
      <c r="V468" s="78"/>
      <c r="W468" s="81" t="s">
        <v>1674</v>
      </c>
      <c r="X468" s="81" t="s">
        <v>1674</v>
      </c>
      <c r="Y468" s="78"/>
      <c r="Z468" s="78"/>
      <c r="AA468" s="81" t="s">
        <v>1674</v>
      </c>
      <c r="AB468" s="79">
        <v>4</v>
      </c>
      <c r="AC468" s="80" t="str">
        <f>REPLACE(INDEX(GroupVertices[Group],MATCH("~"&amp;Edges[[#This Row],[Vertex 1]],GroupVertices[Vertex],0)),1,1,"")</f>
        <v>1</v>
      </c>
      <c r="AD468" s="80" t="str">
        <f>REPLACE(INDEX(GroupVertices[Group],MATCH("~"&amp;Edges[[#This Row],[Vertex 2]],GroupVertices[Vertex],0)),1,1,"")</f>
        <v>2</v>
      </c>
      <c r="AE468" s="105"/>
      <c r="AF468" s="105"/>
      <c r="AG468" s="105"/>
      <c r="AH468" s="105"/>
      <c r="AI468" s="105"/>
      <c r="AJ468" s="105"/>
      <c r="AK468" s="105"/>
      <c r="AL468" s="105"/>
      <c r="AM468" s="105"/>
    </row>
    <row r="469" spans="1:39" ht="15">
      <c r="A469" s="62" t="s">
        <v>278</v>
      </c>
      <c r="B469" s="62" t="s">
        <v>294</v>
      </c>
      <c r="C469" s="63" t="s">
        <v>3598</v>
      </c>
      <c r="D469" s="64">
        <v>5</v>
      </c>
      <c r="E469" s="65" t="s">
        <v>132</v>
      </c>
      <c r="F469" s="66">
        <v>32</v>
      </c>
      <c r="G469" s="63"/>
      <c r="H469" s="67"/>
      <c r="I469" s="68"/>
      <c r="J469" s="68"/>
      <c r="K469" s="31" t="s">
        <v>65</v>
      </c>
      <c r="L469" s="76">
        <v>469</v>
      </c>
      <c r="M469" s="76"/>
      <c r="N469" s="70"/>
      <c r="O469" s="78" t="s">
        <v>305</v>
      </c>
      <c r="P469" s="78" t="s">
        <v>457</v>
      </c>
      <c r="Q469" s="78" t="s">
        <v>914</v>
      </c>
      <c r="R469" s="78" t="s">
        <v>1431</v>
      </c>
      <c r="S469" s="78"/>
      <c r="T469" s="78"/>
      <c r="U469" s="78"/>
      <c r="V469" s="78"/>
      <c r="W469" s="81" t="s">
        <v>1674</v>
      </c>
      <c r="X469" s="81" t="s">
        <v>1674</v>
      </c>
      <c r="Y469" s="78"/>
      <c r="Z469" s="78"/>
      <c r="AA469" s="81" t="s">
        <v>1674</v>
      </c>
      <c r="AB469" s="79">
        <v>1</v>
      </c>
      <c r="AC469" s="80" t="str">
        <f>REPLACE(INDEX(GroupVertices[Group],MATCH("~"&amp;Edges[[#This Row],[Vertex 1]],GroupVertices[Vertex],0)),1,1,"")</f>
        <v>1</v>
      </c>
      <c r="AD469" s="80" t="str">
        <f>REPLACE(INDEX(GroupVertices[Group],MATCH("~"&amp;Edges[[#This Row],[Vertex 2]],GroupVertices[Vertex],0)),1,1,"")</f>
        <v>2</v>
      </c>
      <c r="AE469" s="105"/>
      <c r="AF469" s="105"/>
      <c r="AG469" s="105"/>
      <c r="AH469" s="105"/>
      <c r="AI469" s="105"/>
      <c r="AJ469" s="105"/>
      <c r="AK469" s="105"/>
      <c r="AL469" s="105"/>
      <c r="AM469" s="105"/>
    </row>
    <row r="470" spans="1:39" ht="15">
      <c r="A470" s="62" t="s">
        <v>278</v>
      </c>
      <c r="B470" s="62" t="s">
        <v>268</v>
      </c>
      <c r="C470" s="63" t="s">
        <v>3598</v>
      </c>
      <c r="D470" s="64">
        <v>5.2631578947368425</v>
      </c>
      <c r="E470" s="65" t="s">
        <v>136</v>
      </c>
      <c r="F470" s="66">
        <v>31.50943396226415</v>
      </c>
      <c r="G470" s="63"/>
      <c r="H470" s="67"/>
      <c r="I470" s="68"/>
      <c r="J470" s="68"/>
      <c r="K470" s="31" t="s">
        <v>65</v>
      </c>
      <c r="L470" s="76">
        <v>470</v>
      </c>
      <c r="M470" s="76"/>
      <c r="N470" s="70"/>
      <c r="O470" s="78" t="s">
        <v>305</v>
      </c>
      <c r="P470" s="78" t="s">
        <v>453</v>
      </c>
      <c r="Q470" s="78" t="s">
        <v>910</v>
      </c>
      <c r="R470" s="78" t="s">
        <v>1427</v>
      </c>
      <c r="S470" s="78"/>
      <c r="T470" s="78"/>
      <c r="U470" s="78"/>
      <c r="V470" s="78"/>
      <c r="W470" s="81" t="s">
        <v>1674</v>
      </c>
      <c r="X470" s="81" t="s">
        <v>1674</v>
      </c>
      <c r="Y470" s="78"/>
      <c r="Z470" s="78"/>
      <c r="AA470" s="81" t="s">
        <v>1674</v>
      </c>
      <c r="AB470" s="79">
        <v>2</v>
      </c>
      <c r="AC470" s="80" t="str">
        <f>REPLACE(INDEX(GroupVertices[Group],MATCH("~"&amp;Edges[[#This Row],[Vertex 1]],GroupVertices[Vertex],0)),1,1,"")</f>
        <v>1</v>
      </c>
      <c r="AD470" s="80" t="str">
        <f>REPLACE(INDEX(GroupVertices[Group],MATCH("~"&amp;Edges[[#This Row],[Vertex 2]],GroupVertices[Vertex],0)),1,1,"")</f>
        <v>6</v>
      </c>
      <c r="AE470" s="105"/>
      <c r="AF470" s="105"/>
      <c r="AG470" s="105"/>
      <c r="AH470" s="105"/>
      <c r="AI470" s="105"/>
      <c r="AJ470" s="105"/>
      <c r="AK470" s="105"/>
      <c r="AL470" s="105"/>
      <c r="AM470" s="105"/>
    </row>
    <row r="471" spans="1:39" ht="15">
      <c r="A471" s="62" t="s">
        <v>278</v>
      </c>
      <c r="B471" s="62" t="s">
        <v>268</v>
      </c>
      <c r="C471" s="63" t="s">
        <v>3598</v>
      </c>
      <c r="D471" s="64">
        <v>5.2631578947368425</v>
      </c>
      <c r="E471" s="65" t="s">
        <v>136</v>
      </c>
      <c r="F471" s="66">
        <v>31.50943396226415</v>
      </c>
      <c r="G471" s="63"/>
      <c r="H471" s="67"/>
      <c r="I471" s="68"/>
      <c r="J471" s="68"/>
      <c r="K471" s="31" t="s">
        <v>65</v>
      </c>
      <c r="L471" s="76">
        <v>471</v>
      </c>
      <c r="M471" s="76"/>
      <c r="N471" s="70"/>
      <c r="O471" s="78" t="s">
        <v>305</v>
      </c>
      <c r="P471" s="78" t="s">
        <v>457</v>
      </c>
      <c r="Q471" s="78" t="s">
        <v>914</v>
      </c>
      <c r="R471" s="78" t="s">
        <v>970</v>
      </c>
      <c r="S471" s="78"/>
      <c r="T471" s="78"/>
      <c r="U471" s="78"/>
      <c r="V471" s="78"/>
      <c r="W471" s="81" t="s">
        <v>1674</v>
      </c>
      <c r="X471" s="81" t="s">
        <v>1674</v>
      </c>
      <c r="Y471" s="78"/>
      <c r="Z471" s="78"/>
      <c r="AA471" s="81" t="s">
        <v>1674</v>
      </c>
      <c r="AB471" s="79">
        <v>2</v>
      </c>
      <c r="AC471" s="80" t="str">
        <f>REPLACE(INDEX(GroupVertices[Group],MATCH("~"&amp;Edges[[#This Row],[Vertex 1]],GroupVertices[Vertex],0)),1,1,"")</f>
        <v>1</v>
      </c>
      <c r="AD471" s="80" t="str">
        <f>REPLACE(INDEX(GroupVertices[Group],MATCH("~"&amp;Edges[[#This Row],[Vertex 2]],GroupVertices[Vertex],0)),1,1,"")</f>
        <v>6</v>
      </c>
      <c r="AE471" s="105"/>
      <c r="AF471" s="105"/>
      <c r="AG471" s="105"/>
      <c r="AH471" s="105"/>
      <c r="AI471" s="105"/>
      <c r="AJ471" s="105"/>
      <c r="AK471" s="105"/>
      <c r="AL471" s="105"/>
      <c r="AM471" s="105"/>
    </row>
    <row r="472" spans="1:39" ht="15">
      <c r="A472" s="62" t="s">
        <v>278</v>
      </c>
      <c r="B472" s="62" t="s">
        <v>245</v>
      </c>
      <c r="C472" s="63" t="s">
        <v>3598</v>
      </c>
      <c r="D472" s="64">
        <v>5</v>
      </c>
      <c r="E472" s="65" t="s">
        <v>132</v>
      </c>
      <c r="F472" s="66">
        <v>32</v>
      </c>
      <c r="G472" s="63"/>
      <c r="H472" s="67"/>
      <c r="I472" s="68"/>
      <c r="J472" s="68"/>
      <c r="K472" s="31" t="s">
        <v>65</v>
      </c>
      <c r="L472" s="76">
        <v>472</v>
      </c>
      <c r="M472" s="76"/>
      <c r="N472" s="70"/>
      <c r="O472" s="78" t="s">
        <v>305</v>
      </c>
      <c r="P472" s="78" t="s">
        <v>458</v>
      </c>
      <c r="Q472" s="78" t="s">
        <v>915</v>
      </c>
      <c r="R472" s="78" t="s">
        <v>1432</v>
      </c>
      <c r="S472" s="78"/>
      <c r="T472" s="78"/>
      <c r="U472" s="78"/>
      <c r="V472" s="78"/>
      <c r="W472" s="81" t="s">
        <v>1674</v>
      </c>
      <c r="X472" s="81" t="s">
        <v>1674</v>
      </c>
      <c r="Y472" s="78"/>
      <c r="Z472" s="78"/>
      <c r="AA472" s="81" t="s">
        <v>1674</v>
      </c>
      <c r="AB472" s="79">
        <v>1</v>
      </c>
      <c r="AC472" s="80" t="str">
        <f>REPLACE(INDEX(GroupVertices[Group],MATCH("~"&amp;Edges[[#This Row],[Vertex 1]],GroupVertices[Vertex],0)),1,1,"")</f>
        <v>1</v>
      </c>
      <c r="AD472" s="80" t="str">
        <f>REPLACE(INDEX(GroupVertices[Group],MATCH("~"&amp;Edges[[#This Row],[Vertex 2]],GroupVertices[Vertex],0)),1,1,"")</f>
        <v>1</v>
      </c>
      <c r="AE472" s="105"/>
      <c r="AF472" s="105"/>
      <c r="AG472" s="105"/>
      <c r="AH472" s="105"/>
      <c r="AI472" s="105"/>
      <c r="AJ472" s="105"/>
      <c r="AK472" s="105"/>
      <c r="AL472" s="105"/>
      <c r="AM472" s="105"/>
    </row>
    <row r="473" spans="1:39" ht="15">
      <c r="A473" s="62" t="s">
        <v>278</v>
      </c>
      <c r="B473" s="62" t="s">
        <v>255</v>
      </c>
      <c r="C473" s="63" t="s">
        <v>3598</v>
      </c>
      <c r="D473" s="64">
        <v>5</v>
      </c>
      <c r="E473" s="65" t="s">
        <v>132</v>
      </c>
      <c r="F473" s="66">
        <v>32</v>
      </c>
      <c r="G473" s="63"/>
      <c r="H473" s="67"/>
      <c r="I473" s="68"/>
      <c r="J473" s="68"/>
      <c r="K473" s="31" t="s">
        <v>65</v>
      </c>
      <c r="L473" s="76">
        <v>473</v>
      </c>
      <c r="M473" s="76"/>
      <c r="N473" s="70"/>
      <c r="O473" s="78" t="s">
        <v>305</v>
      </c>
      <c r="P473" s="78" t="s">
        <v>459</v>
      </c>
      <c r="Q473" s="78" t="s">
        <v>916</v>
      </c>
      <c r="R473" s="78" t="s">
        <v>1433</v>
      </c>
      <c r="S473" s="78"/>
      <c r="T473" s="78"/>
      <c r="U473" s="78"/>
      <c r="V473" s="78"/>
      <c r="W473" s="81" t="s">
        <v>1674</v>
      </c>
      <c r="X473" s="81" t="s">
        <v>1674</v>
      </c>
      <c r="Y473" s="78"/>
      <c r="Z473" s="78"/>
      <c r="AA473" s="81" t="s">
        <v>1674</v>
      </c>
      <c r="AB473" s="79">
        <v>1</v>
      </c>
      <c r="AC473" s="80" t="str">
        <f>REPLACE(INDEX(GroupVertices[Group],MATCH("~"&amp;Edges[[#This Row],[Vertex 1]],GroupVertices[Vertex],0)),1,1,"")</f>
        <v>1</v>
      </c>
      <c r="AD473" s="80" t="str">
        <f>REPLACE(INDEX(GroupVertices[Group],MATCH("~"&amp;Edges[[#This Row],[Vertex 2]],GroupVertices[Vertex],0)),1,1,"")</f>
        <v>1</v>
      </c>
      <c r="AE473" s="105"/>
      <c r="AF473" s="105"/>
      <c r="AG473" s="105"/>
      <c r="AH473" s="105"/>
      <c r="AI473" s="105"/>
      <c r="AJ473" s="105"/>
      <c r="AK473" s="105"/>
      <c r="AL473" s="105"/>
      <c r="AM473" s="105"/>
    </row>
    <row r="474" spans="1:39" ht="15">
      <c r="A474" s="62" t="s">
        <v>278</v>
      </c>
      <c r="B474" s="62" t="s">
        <v>256</v>
      </c>
      <c r="C474" s="63" t="s">
        <v>3598</v>
      </c>
      <c r="D474" s="64">
        <v>5</v>
      </c>
      <c r="E474" s="65" t="s">
        <v>132</v>
      </c>
      <c r="F474" s="66">
        <v>32</v>
      </c>
      <c r="G474" s="63"/>
      <c r="H474" s="67"/>
      <c r="I474" s="68"/>
      <c r="J474" s="68"/>
      <c r="K474" s="31" t="s">
        <v>65</v>
      </c>
      <c r="L474" s="76">
        <v>474</v>
      </c>
      <c r="M474" s="76"/>
      <c r="N474" s="70"/>
      <c r="O474" s="78" t="s">
        <v>305</v>
      </c>
      <c r="P474" s="78" t="s">
        <v>453</v>
      </c>
      <c r="Q474" s="78" t="s">
        <v>910</v>
      </c>
      <c r="R474" s="78" t="s">
        <v>980</v>
      </c>
      <c r="S474" s="78"/>
      <c r="T474" s="78"/>
      <c r="U474" s="78"/>
      <c r="V474" s="78"/>
      <c r="W474" s="81" t="s">
        <v>1674</v>
      </c>
      <c r="X474" s="81" t="s">
        <v>1674</v>
      </c>
      <c r="Y474" s="78"/>
      <c r="Z474" s="78"/>
      <c r="AA474" s="81" t="s">
        <v>1674</v>
      </c>
      <c r="AB474" s="79">
        <v>1</v>
      </c>
      <c r="AC474" s="80" t="str">
        <f>REPLACE(INDEX(GroupVertices[Group],MATCH("~"&amp;Edges[[#This Row],[Vertex 1]],GroupVertices[Vertex],0)),1,1,"")</f>
        <v>1</v>
      </c>
      <c r="AD474" s="80" t="str">
        <f>REPLACE(INDEX(GroupVertices[Group],MATCH("~"&amp;Edges[[#This Row],[Vertex 2]],GroupVertices[Vertex],0)),1,1,"")</f>
        <v>1</v>
      </c>
      <c r="AE474" s="105"/>
      <c r="AF474" s="105"/>
      <c r="AG474" s="105"/>
      <c r="AH474" s="105"/>
      <c r="AI474" s="105"/>
      <c r="AJ474" s="105"/>
      <c r="AK474" s="105"/>
      <c r="AL474" s="105"/>
      <c r="AM474" s="105"/>
    </row>
    <row r="475" spans="1:39" ht="15">
      <c r="A475" s="62" t="s">
        <v>278</v>
      </c>
      <c r="B475" s="62" t="s">
        <v>259</v>
      </c>
      <c r="C475" s="63" t="s">
        <v>3598</v>
      </c>
      <c r="D475" s="64">
        <v>5.2631578947368425</v>
      </c>
      <c r="E475" s="65" t="s">
        <v>136</v>
      </c>
      <c r="F475" s="66">
        <v>31.50943396226415</v>
      </c>
      <c r="G475" s="63"/>
      <c r="H475" s="67"/>
      <c r="I475" s="68"/>
      <c r="J475" s="68"/>
      <c r="K475" s="31" t="s">
        <v>65</v>
      </c>
      <c r="L475" s="76">
        <v>475</v>
      </c>
      <c r="M475" s="76"/>
      <c r="N475" s="70"/>
      <c r="O475" s="78" t="s">
        <v>305</v>
      </c>
      <c r="P475" s="78" t="s">
        <v>449</v>
      </c>
      <c r="Q475" s="78" t="s">
        <v>903</v>
      </c>
      <c r="R475" s="78" t="s">
        <v>900</v>
      </c>
      <c r="S475" s="78"/>
      <c r="T475" s="78"/>
      <c r="U475" s="78"/>
      <c r="V475" s="78"/>
      <c r="W475" s="81" t="s">
        <v>1674</v>
      </c>
      <c r="X475" s="81" t="s">
        <v>1674</v>
      </c>
      <c r="Y475" s="78"/>
      <c r="Z475" s="78"/>
      <c r="AA475" s="81" t="s">
        <v>1674</v>
      </c>
      <c r="AB475" s="79">
        <v>2</v>
      </c>
      <c r="AC475" s="80" t="str">
        <f>REPLACE(INDEX(GroupVertices[Group],MATCH("~"&amp;Edges[[#This Row],[Vertex 1]],GroupVertices[Vertex],0)),1,1,"")</f>
        <v>1</v>
      </c>
      <c r="AD475" s="80" t="str">
        <f>REPLACE(INDEX(GroupVertices[Group],MATCH("~"&amp;Edges[[#This Row],[Vertex 2]],GroupVertices[Vertex],0)),1,1,"")</f>
        <v>1</v>
      </c>
      <c r="AE475" s="105"/>
      <c r="AF475" s="105"/>
      <c r="AG475" s="105"/>
      <c r="AH475" s="105"/>
      <c r="AI475" s="105"/>
      <c r="AJ475" s="105"/>
      <c r="AK475" s="105"/>
      <c r="AL475" s="105"/>
      <c r="AM475" s="105"/>
    </row>
    <row r="476" spans="1:39" ht="15">
      <c r="A476" s="62" t="s">
        <v>278</v>
      </c>
      <c r="B476" s="62" t="s">
        <v>259</v>
      </c>
      <c r="C476" s="63" t="s">
        <v>3598</v>
      </c>
      <c r="D476" s="64">
        <v>5.2631578947368425</v>
      </c>
      <c r="E476" s="65" t="s">
        <v>136</v>
      </c>
      <c r="F476" s="66">
        <v>31.50943396226415</v>
      </c>
      <c r="G476" s="63"/>
      <c r="H476" s="67"/>
      <c r="I476" s="68"/>
      <c r="J476" s="68"/>
      <c r="K476" s="31" t="s">
        <v>65</v>
      </c>
      <c r="L476" s="76">
        <v>476</v>
      </c>
      <c r="M476" s="76"/>
      <c r="N476" s="70"/>
      <c r="O476" s="78" t="s">
        <v>305</v>
      </c>
      <c r="P476" s="78" t="s">
        <v>449</v>
      </c>
      <c r="Q476" s="78" t="s">
        <v>903</v>
      </c>
      <c r="R476" s="78" t="s">
        <v>901</v>
      </c>
      <c r="S476" s="78"/>
      <c r="T476" s="78"/>
      <c r="U476" s="78"/>
      <c r="V476" s="78"/>
      <c r="W476" s="81" t="s">
        <v>1674</v>
      </c>
      <c r="X476" s="81" t="s">
        <v>1674</v>
      </c>
      <c r="Y476" s="78"/>
      <c r="Z476" s="78"/>
      <c r="AA476" s="81" t="s">
        <v>1674</v>
      </c>
      <c r="AB476" s="79">
        <v>2</v>
      </c>
      <c r="AC476" s="80" t="str">
        <f>REPLACE(INDEX(GroupVertices[Group],MATCH("~"&amp;Edges[[#This Row],[Vertex 1]],GroupVertices[Vertex],0)),1,1,"")</f>
        <v>1</v>
      </c>
      <c r="AD476" s="80" t="str">
        <f>REPLACE(INDEX(GroupVertices[Group],MATCH("~"&amp;Edges[[#This Row],[Vertex 2]],GroupVertices[Vertex],0)),1,1,"")</f>
        <v>1</v>
      </c>
      <c r="AE476" s="105"/>
      <c r="AF476" s="105"/>
      <c r="AG476" s="105"/>
      <c r="AH476" s="105"/>
      <c r="AI476" s="105"/>
      <c r="AJ476" s="105"/>
      <c r="AK476" s="105"/>
      <c r="AL476" s="105"/>
      <c r="AM476" s="105"/>
    </row>
    <row r="477" spans="1:39" ht="15">
      <c r="A477" s="62" t="s">
        <v>278</v>
      </c>
      <c r="B477" s="62" t="s">
        <v>265</v>
      </c>
      <c r="C477" s="63" t="s">
        <v>3598</v>
      </c>
      <c r="D477" s="64">
        <v>5</v>
      </c>
      <c r="E477" s="65" t="s">
        <v>132</v>
      </c>
      <c r="F477" s="66">
        <v>32</v>
      </c>
      <c r="G477" s="63"/>
      <c r="H477" s="67"/>
      <c r="I477" s="68"/>
      <c r="J477" s="68"/>
      <c r="K477" s="31" t="s">
        <v>65</v>
      </c>
      <c r="L477" s="76">
        <v>477</v>
      </c>
      <c r="M477" s="76"/>
      <c r="N477" s="70"/>
      <c r="O477" s="78" t="s">
        <v>305</v>
      </c>
      <c r="P477" s="78" t="s">
        <v>460</v>
      </c>
      <c r="Q477" s="78" t="s">
        <v>917</v>
      </c>
      <c r="R477" s="78" t="s">
        <v>1434</v>
      </c>
      <c r="S477" s="78"/>
      <c r="T477" s="78"/>
      <c r="U477" s="78"/>
      <c r="V477" s="78"/>
      <c r="W477" s="81" t="s">
        <v>1674</v>
      </c>
      <c r="X477" s="81" t="s">
        <v>1674</v>
      </c>
      <c r="Y477" s="78"/>
      <c r="Z477" s="78"/>
      <c r="AA477" s="81" t="s">
        <v>1674</v>
      </c>
      <c r="AB477" s="79">
        <v>1</v>
      </c>
      <c r="AC477" s="80" t="str">
        <f>REPLACE(INDEX(GroupVertices[Group],MATCH("~"&amp;Edges[[#This Row],[Vertex 1]],GroupVertices[Vertex],0)),1,1,"")</f>
        <v>1</v>
      </c>
      <c r="AD477" s="80" t="str">
        <f>REPLACE(INDEX(GroupVertices[Group],MATCH("~"&amp;Edges[[#This Row],[Vertex 2]],GroupVertices[Vertex],0)),1,1,"")</f>
        <v>3</v>
      </c>
      <c r="AE477" s="105"/>
      <c r="AF477" s="105"/>
      <c r="AG477" s="105"/>
      <c r="AH477" s="105"/>
      <c r="AI477" s="105"/>
      <c r="AJ477" s="105"/>
      <c r="AK477" s="105"/>
      <c r="AL477" s="105"/>
      <c r="AM477" s="105"/>
    </row>
    <row r="478" spans="1:39" ht="15">
      <c r="A478" s="62" t="s">
        <v>278</v>
      </c>
      <c r="B478" s="62" t="s">
        <v>235</v>
      </c>
      <c r="C478" s="63" t="s">
        <v>3598</v>
      </c>
      <c r="D478" s="64">
        <v>5.2631578947368425</v>
      </c>
      <c r="E478" s="65" t="s">
        <v>136</v>
      </c>
      <c r="F478" s="66">
        <v>31.50943396226415</v>
      </c>
      <c r="G478" s="63"/>
      <c r="H478" s="67"/>
      <c r="I478" s="68"/>
      <c r="J478" s="68"/>
      <c r="K478" s="31" t="s">
        <v>65</v>
      </c>
      <c r="L478" s="76">
        <v>478</v>
      </c>
      <c r="M478" s="76"/>
      <c r="N478" s="70"/>
      <c r="O478" s="78" t="s">
        <v>305</v>
      </c>
      <c r="P478" s="78" t="s">
        <v>449</v>
      </c>
      <c r="Q478" s="78" t="s">
        <v>903</v>
      </c>
      <c r="R478" s="78" t="s">
        <v>902</v>
      </c>
      <c r="S478" s="78"/>
      <c r="T478" s="78"/>
      <c r="U478" s="78"/>
      <c r="V478" s="78"/>
      <c r="W478" s="81" t="s">
        <v>1674</v>
      </c>
      <c r="X478" s="81" t="s">
        <v>1674</v>
      </c>
      <c r="Y478" s="78"/>
      <c r="Z478" s="78"/>
      <c r="AA478" s="81" t="s">
        <v>1674</v>
      </c>
      <c r="AB478" s="79">
        <v>2</v>
      </c>
      <c r="AC478" s="80" t="str">
        <f>REPLACE(INDEX(GroupVertices[Group],MATCH("~"&amp;Edges[[#This Row],[Vertex 1]],GroupVertices[Vertex],0)),1,1,"")</f>
        <v>1</v>
      </c>
      <c r="AD478" s="80" t="str">
        <f>REPLACE(INDEX(GroupVertices[Group],MATCH("~"&amp;Edges[[#This Row],[Vertex 2]],GroupVertices[Vertex],0)),1,1,"")</f>
        <v>1</v>
      </c>
      <c r="AE478" s="105"/>
      <c r="AF478" s="105"/>
      <c r="AG478" s="105"/>
      <c r="AH478" s="105"/>
      <c r="AI478" s="105"/>
      <c r="AJ478" s="105"/>
      <c r="AK478" s="105"/>
      <c r="AL478" s="105"/>
      <c r="AM478" s="105"/>
    </row>
    <row r="479" spans="1:39" ht="15">
      <c r="A479" s="62" t="s">
        <v>278</v>
      </c>
      <c r="B479" s="62" t="s">
        <v>235</v>
      </c>
      <c r="C479" s="63" t="s">
        <v>3598</v>
      </c>
      <c r="D479" s="64">
        <v>5.2631578947368425</v>
      </c>
      <c r="E479" s="65" t="s">
        <v>136</v>
      </c>
      <c r="F479" s="66">
        <v>31.50943396226415</v>
      </c>
      <c r="G479" s="63"/>
      <c r="H479" s="67"/>
      <c r="I479" s="68"/>
      <c r="J479" s="68"/>
      <c r="K479" s="31" t="s">
        <v>65</v>
      </c>
      <c r="L479" s="76">
        <v>479</v>
      </c>
      <c r="M479" s="76"/>
      <c r="N479" s="70"/>
      <c r="O479" s="78" t="s">
        <v>305</v>
      </c>
      <c r="P479" s="78" t="s">
        <v>453</v>
      </c>
      <c r="Q479" s="78" t="s">
        <v>910</v>
      </c>
      <c r="R479" s="78" t="s">
        <v>908</v>
      </c>
      <c r="S479" s="78"/>
      <c r="T479" s="78"/>
      <c r="U479" s="78"/>
      <c r="V479" s="78"/>
      <c r="W479" s="81" t="s">
        <v>1674</v>
      </c>
      <c r="X479" s="81" t="s">
        <v>1674</v>
      </c>
      <c r="Y479" s="78"/>
      <c r="Z479" s="78"/>
      <c r="AA479" s="81" t="s">
        <v>1674</v>
      </c>
      <c r="AB479" s="79">
        <v>2</v>
      </c>
      <c r="AC479" s="80" t="str">
        <f>REPLACE(INDEX(GroupVertices[Group],MATCH("~"&amp;Edges[[#This Row],[Vertex 1]],GroupVertices[Vertex],0)),1,1,"")</f>
        <v>1</v>
      </c>
      <c r="AD479" s="80" t="str">
        <f>REPLACE(INDEX(GroupVertices[Group],MATCH("~"&amp;Edges[[#This Row],[Vertex 2]],GroupVertices[Vertex],0)),1,1,"")</f>
        <v>1</v>
      </c>
      <c r="AE479" s="105"/>
      <c r="AF479" s="105"/>
      <c r="AG479" s="105"/>
      <c r="AH479" s="105"/>
      <c r="AI479" s="105"/>
      <c r="AJ479" s="105"/>
      <c r="AK479" s="105"/>
      <c r="AL479" s="105"/>
      <c r="AM479" s="105"/>
    </row>
    <row r="480" spans="1:39" ht="15">
      <c r="A480" s="62" t="s">
        <v>278</v>
      </c>
      <c r="B480" s="62" t="s">
        <v>273</v>
      </c>
      <c r="C480" s="63" t="s">
        <v>3608</v>
      </c>
      <c r="D480" s="64">
        <v>6.842105263157895</v>
      </c>
      <c r="E480" s="65" t="s">
        <v>136</v>
      </c>
      <c r="F480" s="66">
        <v>28.566037735849058</v>
      </c>
      <c r="G480" s="63"/>
      <c r="H480" s="67"/>
      <c r="I480" s="68"/>
      <c r="J480" s="68"/>
      <c r="K480" s="31" t="s">
        <v>65</v>
      </c>
      <c r="L480" s="76">
        <v>480</v>
      </c>
      <c r="M480" s="76"/>
      <c r="N480" s="70"/>
      <c r="O480" s="78" t="s">
        <v>305</v>
      </c>
      <c r="P480" s="78" t="s">
        <v>461</v>
      </c>
      <c r="Q480" s="78" t="s">
        <v>918</v>
      </c>
      <c r="R480" s="78" t="s">
        <v>1435</v>
      </c>
      <c r="S480" s="78"/>
      <c r="T480" s="78"/>
      <c r="U480" s="78"/>
      <c r="V480" s="78"/>
      <c r="W480" s="81" t="s">
        <v>1674</v>
      </c>
      <c r="X480" s="81" t="s">
        <v>1674</v>
      </c>
      <c r="Y480" s="78"/>
      <c r="Z480" s="78"/>
      <c r="AA480" s="81" t="s">
        <v>1674</v>
      </c>
      <c r="AB480" s="79">
        <v>8</v>
      </c>
      <c r="AC480" s="80" t="str">
        <f>REPLACE(INDEX(GroupVertices[Group],MATCH("~"&amp;Edges[[#This Row],[Vertex 1]],GroupVertices[Vertex],0)),1,1,"")</f>
        <v>1</v>
      </c>
      <c r="AD480" s="80" t="str">
        <f>REPLACE(INDEX(GroupVertices[Group],MATCH("~"&amp;Edges[[#This Row],[Vertex 2]],GroupVertices[Vertex],0)),1,1,"")</f>
        <v>6</v>
      </c>
      <c r="AE480" s="105"/>
      <c r="AF480" s="105"/>
      <c r="AG480" s="105"/>
      <c r="AH480" s="105"/>
      <c r="AI480" s="105"/>
      <c r="AJ480" s="105"/>
      <c r="AK480" s="105"/>
      <c r="AL480" s="105"/>
      <c r="AM480" s="105"/>
    </row>
    <row r="481" spans="1:39" ht="15">
      <c r="A481" s="62" t="s">
        <v>278</v>
      </c>
      <c r="B481" s="62" t="s">
        <v>273</v>
      </c>
      <c r="C481" s="63" t="s">
        <v>3608</v>
      </c>
      <c r="D481" s="64">
        <v>6.842105263157895</v>
      </c>
      <c r="E481" s="65" t="s">
        <v>136</v>
      </c>
      <c r="F481" s="66">
        <v>28.566037735849058</v>
      </c>
      <c r="G481" s="63"/>
      <c r="H481" s="67"/>
      <c r="I481" s="68"/>
      <c r="J481" s="68"/>
      <c r="K481" s="31" t="s">
        <v>65</v>
      </c>
      <c r="L481" s="76">
        <v>481</v>
      </c>
      <c r="M481" s="76"/>
      <c r="N481" s="70"/>
      <c r="O481" s="78" t="s">
        <v>305</v>
      </c>
      <c r="P481" s="78" t="s">
        <v>461</v>
      </c>
      <c r="Q481" s="78" t="s">
        <v>919</v>
      </c>
      <c r="R481" s="78" t="s">
        <v>1435</v>
      </c>
      <c r="S481" s="78"/>
      <c r="T481" s="78"/>
      <c r="U481" s="78"/>
      <c r="V481" s="78"/>
      <c r="W481" s="81" t="s">
        <v>1674</v>
      </c>
      <c r="X481" s="81" t="s">
        <v>1674</v>
      </c>
      <c r="Y481" s="78"/>
      <c r="Z481" s="78"/>
      <c r="AA481" s="81" t="s">
        <v>1674</v>
      </c>
      <c r="AB481" s="79">
        <v>8</v>
      </c>
      <c r="AC481" s="80" t="str">
        <f>REPLACE(INDEX(GroupVertices[Group],MATCH("~"&amp;Edges[[#This Row],[Vertex 1]],GroupVertices[Vertex],0)),1,1,"")</f>
        <v>1</v>
      </c>
      <c r="AD481" s="80" t="str">
        <f>REPLACE(INDEX(GroupVertices[Group],MATCH("~"&amp;Edges[[#This Row],[Vertex 2]],GroupVertices[Vertex],0)),1,1,"")</f>
        <v>6</v>
      </c>
      <c r="AE481" s="105"/>
      <c r="AF481" s="105"/>
      <c r="AG481" s="105"/>
      <c r="AH481" s="105"/>
      <c r="AI481" s="105"/>
      <c r="AJ481" s="105"/>
      <c r="AK481" s="105"/>
      <c r="AL481" s="105"/>
      <c r="AM481" s="105"/>
    </row>
    <row r="482" spans="1:39" ht="15">
      <c r="A482" s="62" t="s">
        <v>278</v>
      </c>
      <c r="B482" s="62" t="s">
        <v>273</v>
      </c>
      <c r="C482" s="63" t="s">
        <v>3608</v>
      </c>
      <c r="D482" s="64">
        <v>6.842105263157895</v>
      </c>
      <c r="E482" s="65" t="s">
        <v>136</v>
      </c>
      <c r="F482" s="66">
        <v>28.566037735849058</v>
      </c>
      <c r="G482" s="63"/>
      <c r="H482" s="67"/>
      <c r="I482" s="68"/>
      <c r="J482" s="68"/>
      <c r="K482" s="31" t="s">
        <v>65</v>
      </c>
      <c r="L482" s="76">
        <v>482</v>
      </c>
      <c r="M482" s="76"/>
      <c r="N482" s="70"/>
      <c r="O482" s="78" t="s">
        <v>305</v>
      </c>
      <c r="P482" s="78" t="s">
        <v>461</v>
      </c>
      <c r="Q482" s="78" t="s">
        <v>920</v>
      </c>
      <c r="R482" s="78" t="s">
        <v>1435</v>
      </c>
      <c r="S482" s="78"/>
      <c r="T482" s="78"/>
      <c r="U482" s="78"/>
      <c r="V482" s="78"/>
      <c r="W482" s="81" t="s">
        <v>1674</v>
      </c>
      <c r="X482" s="81" t="s">
        <v>1674</v>
      </c>
      <c r="Y482" s="78"/>
      <c r="Z482" s="78"/>
      <c r="AA482" s="81" t="s">
        <v>1674</v>
      </c>
      <c r="AB482" s="79">
        <v>8</v>
      </c>
      <c r="AC482" s="80" t="str">
        <f>REPLACE(INDEX(GroupVertices[Group],MATCH("~"&amp;Edges[[#This Row],[Vertex 1]],GroupVertices[Vertex],0)),1,1,"")</f>
        <v>1</v>
      </c>
      <c r="AD482" s="80" t="str">
        <f>REPLACE(INDEX(GroupVertices[Group],MATCH("~"&amp;Edges[[#This Row],[Vertex 2]],GroupVertices[Vertex],0)),1,1,"")</f>
        <v>6</v>
      </c>
      <c r="AE482" s="105"/>
      <c r="AF482" s="105"/>
      <c r="AG482" s="105"/>
      <c r="AH482" s="105"/>
      <c r="AI482" s="105"/>
      <c r="AJ482" s="105"/>
      <c r="AK482" s="105"/>
      <c r="AL482" s="105"/>
      <c r="AM482" s="105"/>
    </row>
    <row r="483" spans="1:39" ht="15">
      <c r="A483" s="62" t="s">
        <v>278</v>
      </c>
      <c r="B483" s="62" t="s">
        <v>273</v>
      </c>
      <c r="C483" s="63" t="s">
        <v>3608</v>
      </c>
      <c r="D483" s="64">
        <v>6.842105263157895</v>
      </c>
      <c r="E483" s="65" t="s">
        <v>136</v>
      </c>
      <c r="F483" s="66">
        <v>28.566037735849058</v>
      </c>
      <c r="G483" s="63"/>
      <c r="H483" s="67"/>
      <c r="I483" s="68"/>
      <c r="J483" s="68"/>
      <c r="K483" s="31" t="s">
        <v>65</v>
      </c>
      <c r="L483" s="76">
        <v>483</v>
      </c>
      <c r="M483" s="76"/>
      <c r="N483" s="70"/>
      <c r="O483" s="78" t="s">
        <v>305</v>
      </c>
      <c r="P483" s="78" t="s">
        <v>461</v>
      </c>
      <c r="Q483" s="78" t="s">
        <v>921</v>
      </c>
      <c r="R483" s="78" t="s">
        <v>1435</v>
      </c>
      <c r="S483" s="78"/>
      <c r="T483" s="78"/>
      <c r="U483" s="78"/>
      <c r="V483" s="78"/>
      <c r="W483" s="81" t="s">
        <v>1674</v>
      </c>
      <c r="X483" s="81" t="s">
        <v>1674</v>
      </c>
      <c r="Y483" s="78"/>
      <c r="Z483" s="78"/>
      <c r="AA483" s="81" t="s">
        <v>1674</v>
      </c>
      <c r="AB483" s="79">
        <v>8</v>
      </c>
      <c r="AC483" s="80" t="str">
        <f>REPLACE(INDEX(GroupVertices[Group],MATCH("~"&amp;Edges[[#This Row],[Vertex 1]],GroupVertices[Vertex],0)),1,1,"")</f>
        <v>1</v>
      </c>
      <c r="AD483" s="80" t="str">
        <f>REPLACE(INDEX(GroupVertices[Group],MATCH("~"&amp;Edges[[#This Row],[Vertex 2]],GroupVertices[Vertex],0)),1,1,"")</f>
        <v>6</v>
      </c>
      <c r="AE483" s="105"/>
      <c r="AF483" s="105"/>
      <c r="AG483" s="105"/>
      <c r="AH483" s="105"/>
      <c r="AI483" s="105"/>
      <c r="AJ483" s="105"/>
      <c r="AK483" s="105"/>
      <c r="AL483" s="105"/>
      <c r="AM483" s="105"/>
    </row>
    <row r="484" spans="1:39" ht="15">
      <c r="A484" s="62" t="s">
        <v>278</v>
      </c>
      <c r="B484" s="62" t="s">
        <v>273</v>
      </c>
      <c r="C484" s="63" t="s">
        <v>3608</v>
      </c>
      <c r="D484" s="64">
        <v>6.842105263157895</v>
      </c>
      <c r="E484" s="65" t="s">
        <v>136</v>
      </c>
      <c r="F484" s="66">
        <v>28.566037735849058</v>
      </c>
      <c r="G484" s="63"/>
      <c r="H484" s="67"/>
      <c r="I484" s="68"/>
      <c r="J484" s="68"/>
      <c r="K484" s="31" t="s">
        <v>65</v>
      </c>
      <c r="L484" s="76">
        <v>484</v>
      </c>
      <c r="M484" s="76"/>
      <c r="N484" s="70"/>
      <c r="O484" s="78" t="s">
        <v>305</v>
      </c>
      <c r="P484" s="78" t="s">
        <v>462</v>
      </c>
      <c r="Q484" s="78" t="s">
        <v>922</v>
      </c>
      <c r="R484" s="78" t="s">
        <v>1436</v>
      </c>
      <c r="S484" s="78"/>
      <c r="T484" s="78"/>
      <c r="U484" s="78"/>
      <c r="V484" s="78"/>
      <c r="W484" s="81" t="s">
        <v>1674</v>
      </c>
      <c r="X484" s="81" t="s">
        <v>1674</v>
      </c>
      <c r="Y484" s="78"/>
      <c r="Z484" s="78"/>
      <c r="AA484" s="81" t="s">
        <v>1674</v>
      </c>
      <c r="AB484" s="79">
        <v>8</v>
      </c>
      <c r="AC484" s="80" t="str">
        <f>REPLACE(INDEX(GroupVertices[Group],MATCH("~"&amp;Edges[[#This Row],[Vertex 1]],GroupVertices[Vertex],0)),1,1,"")</f>
        <v>1</v>
      </c>
      <c r="AD484" s="80" t="str">
        <f>REPLACE(INDEX(GroupVertices[Group],MATCH("~"&amp;Edges[[#This Row],[Vertex 2]],GroupVertices[Vertex],0)),1,1,"")</f>
        <v>6</v>
      </c>
      <c r="AE484" s="105"/>
      <c r="AF484" s="105"/>
      <c r="AG484" s="105"/>
      <c r="AH484" s="105"/>
      <c r="AI484" s="105"/>
      <c r="AJ484" s="105"/>
      <c r="AK484" s="105"/>
      <c r="AL484" s="105"/>
      <c r="AM484" s="105"/>
    </row>
    <row r="485" spans="1:39" ht="15">
      <c r="A485" s="62" t="s">
        <v>278</v>
      </c>
      <c r="B485" s="62" t="s">
        <v>273</v>
      </c>
      <c r="C485" s="63" t="s">
        <v>3608</v>
      </c>
      <c r="D485" s="64">
        <v>6.842105263157895</v>
      </c>
      <c r="E485" s="65" t="s">
        <v>136</v>
      </c>
      <c r="F485" s="66">
        <v>28.566037735849058</v>
      </c>
      <c r="G485" s="63"/>
      <c r="H485" s="67"/>
      <c r="I485" s="68"/>
      <c r="J485" s="68"/>
      <c r="K485" s="31" t="s">
        <v>65</v>
      </c>
      <c r="L485" s="76">
        <v>485</v>
      </c>
      <c r="M485" s="76"/>
      <c r="N485" s="70"/>
      <c r="O485" s="78" t="s">
        <v>305</v>
      </c>
      <c r="P485" s="78" t="s">
        <v>461</v>
      </c>
      <c r="Q485" s="78" t="s">
        <v>923</v>
      </c>
      <c r="R485" s="78" t="s">
        <v>1435</v>
      </c>
      <c r="S485" s="78"/>
      <c r="T485" s="78"/>
      <c r="U485" s="78"/>
      <c r="V485" s="78"/>
      <c r="W485" s="81" t="s">
        <v>1674</v>
      </c>
      <c r="X485" s="81" t="s">
        <v>1674</v>
      </c>
      <c r="Y485" s="78"/>
      <c r="Z485" s="78"/>
      <c r="AA485" s="81" t="s">
        <v>1674</v>
      </c>
      <c r="AB485" s="79">
        <v>8</v>
      </c>
      <c r="AC485" s="80" t="str">
        <f>REPLACE(INDEX(GroupVertices[Group],MATCH("~"&amp;Edges[[#This Row],[Vertex 1]],GroupVertices[Vertex],0)),1,1,"")</f>
        <v>1</v>
      </c>
      <c r="AD485" s="80" t="str">
        <f>REPLACE(INDEX(GroupVertices[Group],MATCH("~"&amp;Edges[[#This Row],[Vertex 2]],GroupVertices[Vertex],0)),1,1,"")</f>
        <v>6</v>
      </c>
      <c r="AE485" s="105"/>
      <c r="AF485" s="105"/>
      <c r="AG485" s="105"/>
      <c r="AH485" s="105"/>
      <c r="AI485" s="105"/>
      <c r="AJ485" s="105"/>
      <c r="AK485" s="105"/>
      <c r="AL485" s="105"/>
      <c r="AM485" s="105"/>
    </row>
    <row r="486" spans="1:39" ht="15">
      <c r="A486" s="62" t="s">
        <v>278</v>
      </c>
      <c r="B486" s="62" t="s">
        <v>273</v>
      </c>
      <c r="C486" s="63" t="s">
        <v>3608</v>
      </c>
      <c r="D486" s="64">
        <v>6.842105263157895</v>
      </c>
      <c r="E486" s="65" t="s">
        <v>136</v>
      </c>
      <c r="F486" s="66">
        <v>28.566037735849058</v>
      </c>
      <c r="G486" s="63"/>
      <c r="H486" s="67"/>
      <c r="I486" s="68"/>
      <c r="J486" s="68"/>
      <c r="K486" s="31" t="s">
        <v>65</v>
      </c>
      <c r="L486" s="76">
        <v>486</v>
      </c>
      <c r="M486" s="76"/>
      <c r="N486" s="70"/>
      <c r="O486" s="78" t="s">
        <v>305</v>
      </c>
      <c r="P486" s="78" t="s">
        <v>461</v>
      </c>
      <c r="Q486" s="78" t="s">
        <v>924</v>
      </c>
      <c r="R486" s="78" t="s">
        <v>1435</v>
      </c>
      <c r="S486" s="78"/>
      <c r="T486" s="78"/>
      <c r="U486" s="78"/>
      <c r="V486" s="78"/>
      <c r="W486" s="81" t="s">
        <v>1674</v>
      </c>
      <c r="X486" s="81" t="s">
        <v>1674</v>
      </c>
      <c r="Y486" s="78"/>
      <c r="Z486" s="78"/>
      <c r="AA486" s="81" t="s">
        <v>1674</v>
      </c>
      <c r="AB486" s="79">
        <v>8</v>
      </c>
      <c r="AC486" s="80" t="str">
        <f>REPLACE(INDEX(GroupVertices[Group],MATCH("~"&amp;Edges[[#This Row],[Vertex 1]],GroupVertices[Vertex],0)),1,1,"")</f>
        <v>1</v>
      </c>
      <c r="AD486" s="80" t="str">
        <f>REPLACE(INDEX(GroupVertices[Group],MATCH("~"&amp;Edges[[#This Row],[Vertex 2]],GroupVertices[Vertex],0)),1,1,"")</f>
        <v>6</v>
      </c>
      <c r="AE486" s="105"/>
      <c r="AF486" s="105"/>
      <c r="AG486" s="105"/>
      <c r="AH486" s="105"/>
      <c r="AI486" s="105"/>
      <c r="AJ486" s="105"/>
      <c r="AK486" s="105"/>
      <c r="AL486" s="105"/>
      <c r="AM486" s="105"/>
    </row>
    <row r="487" spans="1:39" ht="15">
      <c r="A487" s="62" t="s">
        <v>278</v>
      </c>
      <c r="B487" s="62" t="s">
        <v>273</v>
      </c>
      <c r="C487" s="63" t="s">
        <v>3608</v>
      </c>
      <c r="D487" s="64">
        <v>6.842105263157895</v>
      </c>
      <c r="E487" s="65" t="s">
        <v>136</v>
      </c>
      <c r="F487" s="66">
        <v>28.566037735849058</v>
      </c>
      <c r="G487" s="63"/>
      <c r="H487" s="67"/>
      <c r="I487" s="68"/>
      <c r="J487" s="68"/>
      <c r="K487" s="31" t="s">
        <v>65</v>
      </c>
      <c r="L487" s="76">
        <v>487</v>
      </c>
      <c r="M487" s="76"/>
      <c r="N487" s="70"/>
      <c r="O487" s="78" t="s">
        <v>305</v>
      </c>
      <c r="P487" s="78" t="s">
        <v>457</v>
      </c>
      <c r="Q487" s="78" t="s">
        <v>914</v>
      </c>
      <c r="R487" s="78" t="s">
        <v>982</v>
      </c>
      <c r="S487" s="78"/>
      <c r="T487" s="78"/>
      <c r="U487" s="78"/>
      <c r="V487" s="78"/>
      <c r="W487" s="81" t="s">
        <v>1674</v>
      </c>
      <c r="X487" s="81" t="s">
        <v>1674</v>
      </c>
      <c r="Y487" s="78"/>
      <c r="Z487" s="78"/>
      <c r="AA487" s="81" t="s">
        <v>1674</v>
      </c>
      <c r="AB487" s="79">
        <v>8</v>
      </c>
      <c r="AC487" s="80" t="str">
        <f>REPLACE(INDEX(GroupVertices[Group],MATCH("~"&amp;Edges[[#This Row],[Vertex 1]],GroupVertices[Vertex],0)),1,1,"")</f>
        <v>1</v>
      </c>
      <c r="AD487" s="80" t="str">
        <f>REPLACE(INDEX(GroupVertices[Group],MATCH("~"&amp;Edges[[#This Row],[Vertex 2]],GroupVertices[Vertex],0)),1,1,"")</f>
        <v>6</v>
      </c>
      <c r="AE487" s="105"/>
      <c r="AF487" s="105"/>
      <c r="AG487" s="105"/>
      <c r="AH487" s="105"/>
      <c r="AI487" s="105"/>
      <c r="AJ487" s="105"/>
      <c r="AK487" s="105"/>
      <c r="AL487" s="105"/>
      <c r="AM487" s="105"/>
    </row>
    <row r="488" spans="1:39" ht="15">
      <c r="A488" s="62" t="s">
        <v>262</v>
      </c>
      <c r="B488" s="62" t="s">
        <v>228</v>
      </c>
      <c r="C488" s="63" t="s">
        <v>3598</v>
      </c>
      <c r="D488" s="64">
        <v>5.2631578947368425</v>
      </c>
      <c r="E488" s="65" t="s">
        <v>136</v>
      </c>
      <c r="F488" s="66">
        <v>31.50943396226415</v>
      </c>
      <c r="G488" s="63"/>
      <c r="H488" s="67"/>
      <c r="I488" s="68"/>
      <c r="J488" s="68"/>
      <c r="K488" s="31" t="s">
        <v>65</v>
      </c>
      <c r="L488" s="76">
        <v>488</v>
      </c>
      <c r="M488" s="76"/>
      <c r="N488" s="70"/>
      <c r="O488" s="78" t="s">
        <v>305</v>
      </c>
      <c r="P488" s="78" t="s">
        <v>463</v>
      </c>
      <c r="Q488" s="78" t="s">
        <v>925</v>
      </c>
      <c r="R488" s="78" t="s">
        <v>1437</v>
      </c>
      <c r="S488" s="78"/>
      <c r="T488" s="78"/>
      <c r="U488" s="78"/>
      <c r="V488" s="78"/>
      <c r="W488" s="81" t="s">
        <v>1674</v>
      </c>
      <c r="X488" s="81" t="s">
        <v>1674</v>
      </c>
      <c r="Y488" s="78"/>
      <c r="Z488" s="78"/>
      <c r="AA488" s="81" t="s">
        <v>1674</v>
      </c>
      <c r="AB488" s="79">
        <v>2</v>
      </c>
      <c r="AC488" s="80" t="str">
        <f>REPLACE(INDEX(GroupVertices[Group],MATCH("~"&amp;Edges[[#This Row],[Vertex 1]],GroupVertices[Vertex],0)),1,1,"")</f>
        <v>8</v>
      </c>
      <c r="AD488" s="80" t="str">
        <f>REPLACE(INDEX(GroupVertices[Group],MATCH("~"&amp;Edges[[#This Row],[Vertex 2]],GroupVertices[Vertex],0)),1,1,"")</f>
        <v>1</v>
      </c>
      <c r="AE488" s="105"/>
      <c r="AF488" s="105"/>
      <c r="AG488" s="105"/>
      <c r="AH488" s="105"/>
      <c r="AI488" s="105"/>
      <c r="AJ488" s="105"/>
      <c r="AK488" s="105"/>
      <c r="AL488" s="105"/>
      <c r="AM488" s="105"/>
    </row>
    <row r="489" spans="1:39" ht="15">
      <c r="A489" s="62" t="s">
        <v>262</v>
      </c>
      <c r="B489" s="62" t="s">
        <v>228</v>
      </c>
      <c r="C489" s="63" t="s">
        <v>3598</v>
      </c>
      <c r="D489" s="64">
        <v>5.2631578947368425</v>
      </c>
      <c r="E489" s="65" t="s">
        <v>136</v>
      </c>
      <c r="F489" s="66">
        <v>31.50943396226415</v>
      </c>
      <c r="G489" s="63"/>
      <c r="H489" s="67"/>
      <c r="I489" s="68"/>
      <c r="J489" s="68"/>
      <c r="K489" s="31" t="s">
        <v>65</v>
      </c>
      <c r="L489" s="76">
        <v>489</v>
      </c>
      <c r="M489" s="76"/>
      <c r="N489" s="70"/>
      <c r="O489" s="78" t="s">
        <v>305</v>
      </c>
      <c r="P489" s="78" t="s">
        <v>463</v>
      </c>
      <c r="Q489" s="78" t="s">
        <v>925</v>
      </c>
      <c r="R489" s="78" t="s">
        <v>1438</v>
      </c>
      <c r="S489" s="78"/>
      <c r="T489" s="78"/>
      <c r="U489" s="78"/>
      <c r="V489" s="78"/>
      <c r="W489" s="81" t="s">
        <v>1674</v>
      </c>
      <c r="X489" s="81" t="s">
        <v>1674</v>
      </c>
      <c r="Y489" s="78"/>
      <c r="Z489" s="78"/>
      <c r="AA489" s="81" t="s">
        <v>1674</v>
      </c>
      <c r="AB489" s="79">
        <v>2</v>
      </c>
      <c r="AC489" s="80" t="str">
        <f>REPLACE(INDEX(GroupVertices[Group],MATCH("~"&amp;Edges[[#This Row],[Vertex 1]],GroupVertices[Vertex],0)),1,1,"")</f>
        <v>8</v>
      </c>
      <c r="AD489" s="80" t="str">
        <f>REPLACE(INDEX(GroupVertices[Group],MATCH("~"&amp;Edges[[#This Row],[Vertex 2]],GroupVertices[Vertex],0)),1,1,"")</f>
        <v>1</v>
      </c>
      <c r="AE489" s="105"/>
      <c r="AF489" s="105"/>
      <c r="AG489" s="105"/>
      <c r="AH489" s="105"/>
      <c r="AI489" s="105"/>
      <c r="AJ489" s="105"/>
      <c r="AK489" s="105"/>
      <c r="AL489" s="105"/>
      <c r="AM489" s="105"/>
    </row>
    <row r="490" spans="1:39" ht="15">
      <c r="A490" s="62" t="s">
        <v>279</v>
      </c>
      <c r="B490" s="62" t="s">
        <v>262</v>
      </c>
      <c r="C490" s="63" t="s">
        <v>3598</v>
      </c>
      <c r="D490" s="64">
        <v>5</v>
      </c>
      <c r="E490" s="65" t="s">
        <v>132</v>
      </c>
      <c r="F490" s="66">
        <v>32</v>
      </c>
      <c r="G490" s="63"/>
      <c r="H490" s="67"/>
      <c r="I490" s="68"/>
      <c r="J490" s="68"/>
      <c r="K490" s="31" t="s">
        <v>65</v>
      </c>
      <c r="L490" s="76">
        <v>490</v>
      </c>
      <c r="M490" s="76"/>
      <c r="N490" s="70"/>
      <c r="O490" s="78" t="s">
        <v>305</v>
      </c>
      <c r="P490" s="78" t="s">
        <v>464</v>
      </c>
      <c r="Q490" s="78" t="s">
        <v>926</v>
      </c>
      <c r="R490" s="78" t="s">
        <v>1439</v>
      </c>
      <c r="S490" s="78"/>
      <c r="T490" s="78"/>
      <c r="U490" s="78"/>
      <c r="V490" s="78"/>
      <c r="W490" s="81" t="s">
        <v>1674</v>
      </c>
      <c r="X490" s="81" t="s">
        <v>1674</v>
      </c>
      <c r="Y490" s="78"/>
      <c r="Z490" s="78"/>
      <c r="AA490" s="81" t="s">
        <v>1674</v>
      </c>
      <c r="AB490" s="79">
        <v>1</v>
      </c>
      <c r="AC490" s="80" t="str">
        <f>REPLACE(INDEX(GroupVertices[Group],MATCH("~"&amp;Edges[[#This Row],[Vertex 1]],GroupVertices[Vertex],0)),1,1,"")</f>
        <v>3</v>
      </c>
      <c r="AD490" s="80" t="str">
        <f>REPLACE(INDEX(GroupVertices[Group],MATCH("~"&amp;Edges[[#This Row],[Vertex 2]],GroupVertices[Vertex],0)),1,1,"")</f>
        <v>8</v>
      </c>
      <c r="AE490" s="105"/>
      <c r="AF490" s="105"/>
      <c r="AG490" s="105"/>
      <c r="AH490" s="105"/>
      <c r="AI490" s="105"/>
      <c r="AJ490" s="105"/>
      <c r="AK490" s="105"/>
      <c r="AL490" s="105"/>
      <c r="AM490" s="105"/>
    </row>
    <row r="491" spans="1:39" ht="15">
      <c r="A491" s="62" t="s">
        <v>223</v>
      </c>
      <c r="B491" s="62" t="s">
        <v>298</v>
      </c>
      <c r="C491" s="63" t="s">
        <v>3602</v>
      </c>
      <c r="D491" s="64">
        <v>5.526315789473684</v>
      </c>
      <c r="E491" s="65" t="s">
        <v>136</v>
      </c>
      <c r="F491" s="66">
        <v>31.0188679245283</v>
      </c>
      <c r="G491" s="63"/>
      <c r="H491" s="67"/>
      <c r="I491" s="68"/>
      <c r="J491" s="68"/>
      <c r="K491" s="31" t="s">
        <v>65</v>
      </c>
      <c r="L491" s="76">
        <v>491</v>
      </c>
      <c r="M491" s="76"/>
      <c r="N491" s="70"/>
      <c r="O491" s="78" t="s">
        <v>305</v>
      </c>
      <c r="P491" s="78" t="s">
        <v>370</v>
      </c>
      <c r="Q491" s="78" t="s">
        <v>927</v>
      </c>
      <c r="R491" s="78" t="s">
        <v>1321</v>
      </c>
      <c r="S491" s="78"/>
      <c r="T491" s="78"/>
      <c r="U491" s="78"/>
      <c r="V491" s="78"/>
      <c r="W491" s="81" t="s">
        <v>1674</v>
      </c>
      <c r="X491" s="81" t="s">
        <v>1674</v>
      </c>
      <c r="Y491" s="78"/>
      <c r="Z491" s="78"/>
      <c r="AA491" s="81" t="s">
        <v>1674</v>
      </c>
      <c r="AB491" s="79">
        <v>3</v>
      </c>
      <c r="AC491" s="80" t="str">
        <f>REPLACE(INDEX(GroupVertices[Group],MATCH("~"&amp;Edges[[#This Row],[Vertex 1]],GroupVertices[Vertex],0)),1,1,"")</f>
        <v>5</v>
      </c>
      <c r="AD491" s="80" t="str">
        <f>REPLACE(INDEX(GroupVertices[Group],MATCH("~"&amp;Edges[[#This Row],[Vertex 2]],GroupVertices[Vertex],0)),1,1,"")</f>
        <v>5</v>
      </c>
      <c r="AE491" s="105"/>
      <c r="AF491" s="105"/>
      <c r="AG491" s="105"/>
      <c r="AH491" s="105"/>
      <c r="AI491" s="105"/>
      <c r="AJ491" s="105"/>
      <c r="AK491" s="105"/>
      <c r="AL491" s="105"/>
      <c r="AM491" s="105"/>
    </row>
    <row r="492" spans="1:39" ht="15">
      <c r="A492" s="62" t="s">
        <v>223</v>
      </c>
      <c r="B492" s="62" t="s">
        <v>298</v>
      </c>
      <c r="C492" s="63" t="s">
        <v>3602</v>
      </c>
      <c r="D492" s="64">
        <v>5.526315789473684</v>
      </c>
      <c r="E492" s="65" t="s">
        <v>136</v>
      </c>
      <c r="F492" s="66">
        <v>31.0188679245283</v>
      </c>
      <c r="G492" s="63"/>
      <c r="H492" s="67"/>
      <c r="I492" s="68"/>
      <c r="J492" s="68"/>
      <c r="K492" s="31" t="s">
        <v>65</v>
      </c>
      <c r="L492" s="76">
        <v>492</v>
      </c>
      <c r="M492" s="76"/>
      <c r="N492" s="70"/>
      <c r="O492" s="78" t="s">
        <v>305</v>
      </c>
      <c r="P492" s="78" t="s">
        <v>370</v>
      </c>
      <c r="Q492" s="78" t="s">
        <v>928</v>
      </c>
      <c r="R492" s="78" t="s">
        <v>1321</v>
      </c>
      <c r="S492" s="78"/>
      <c r="T492" s="78"/>
      <c r="U492" s="78"/>
      <c r="V492" s="78"/>
      <c r="W492" s="81" t="s">
        <v>1674</v>
      </c>
      <c r="X492" s="81" t="s">
        <v>1674</v>
      </c>
      <c r="Y492" s="78"/>
      <c r="Z492" s="78"/>
      <c r="AA492" s="81" t="s">
        <v>1674</v>
      </c>
      <c r="AB492" s="79">
        <v>3</v>
      </c>
      <c r="AC492" s="80" t="str">
        <f>REPLACE(INDEX(GroupVertices[Group],MATCH("~"&amp;Edges[[#This Row],[Vertex 1]],GroupVertices[Vertex],0)),1,1,"")</f>
        <v>5</v>
      </c>
      <c r="AD492" s="80" t="str">
        <f>REPLACE(INDEX(GroupVertices[Group],MATCH("~"&amp;Edges[[#This Row],[Vertex 2]],GroupVertices[Vertex],0)),1,1,"")</f>
        <v>5</v>
      </c>
      <c r="AE492" s="105"/>
      <c r="AF492" s="105"/>
      <c r="AG492" s="105"/>
      <c r="AH492" s="105"/>
      <c r="AI492" s="105"/>
      <c r="AJ492" s="105"/>
      <c r="AK492" s="105"/>
      <c r="AL492" s="105"/>
      <c r="AM492" s="105"/>
    </row>
    <row r="493" spans="1:39" ht="15">
      <c r="A493" s="62" t="s">
        <v>223</v>
      </c>
      <c r="B493" s="62" t="s">
        <v>298</v>
      </c>
      <c r="C493" s="63" t="s">
        <v>3602</v>
      </c>
      <c r="D493" s="64">
        <v>5.526315789473684</v>
      </c>
      <c r="E493" s="65" t="s">
        <v>136</v>
      </c>
      <c r="F493" s="66">
        <v>31.0188679245283</v>
      </c>
      <c r="G493" s="63"/>
      <c r="H493" s="67"/>
      <c r="I493" s="68"/>
      <c r="J493" s="68"/>
      <c r="K493" s="31" t="s">
        <v>65</v>
      </c>
      <c r="L493" s="76">
        <v>493</v>
      </c>
      <c r="M493" s="76"/>
      <c r="N493" s="70"/>
      <c r="O493" s="78" t="s">
        <v>305</v>
      </c>
      <c r="P493" s="78" t="s">
        <v>465</v>
      </c>
      <c r="Q493" s="78" t="s">
        <v>929</v>
      </c>
      <c r="R493" s="78" t="s">
        <v>1440</v>
      </c>
      <c r="S493" s="78" t="s">
        <v>1652</v>
      </c>
      <c r="T493" s="78"/>
      <c r="U493" s="78" t="s">
        <v>1670</v>
      </c>
      <c r="V493" s="78"/>
      <c r="W493" s="81" t="s">
        <v>1674</v>
      </c>
      <c r="X493" s="81" t="s">
        <v>1674</v>
      </c>
      <c r="Y493" s="78" t="s">
        <v>1688</v>
      </c>
      <c r="Z493" s="78" t="s">
        <v>1709</v>
      </c>
      <c r="AA493" s="81" t="s">
        <v>1674</v>
      </c>
      <c r="AB493" s="79">
        <v>3</v>
      </c>
      <c r="AC493" s="80" t="str">
        <f>REPLACE(INDEX(GroupVertices[Group],MATCH("~"&amp;Edges[[#This Row],[Vertex 1]],GroupVertices[Vertex],0)),1,1,"")</f>
        <v>5</v>
      </c>
      <c r="AD493" s="80" t="str">
        <f>REPLACE(INDEX(GroupVertices[Group],MATCH("~"&amp;Edges[[#This Row],[Vertex 2]],GroupVertices[Vertex],0)),1,1,"")</f>
        <v>5</v>
      </c>
      <c r="AE493" s="105"/>
      <c r="AF493" s="105"/>
      <c r="AG493" s="105"/>
      <c r="AH493" s="105"/>
      <c r="AI493" s="105"/>
      <c r="AJ493" s="105"/>
      <c r="AK493" s="105"/>
      <c r="AL493" s="105"/>
      <c r="AM493" s="105"/>
    </row>
    <row r="494" spans="1:39" ht="15">
      <c r="A494" s="62" t="s">
        <v>254</v>
      </c>
      <c r="B494" s="62" t="s">
        <v>298</v>
      </c>
      <c r="C494" s="63" t="s">
        <v>3599</v>
      </c>
      <c r="D494" s="64">
        <v>6.052631578947368</v>
      </c>
      <c r="E494" s="65" t="s">
        <v>136</v>
      </c>
      <c r="F494" s="66">
        <v>30.037735849056602</v>
      </c>
      <c r="G494" s="63"/>
      <c r="H494" s="67"/>
      <c r="I494" s="68"/>
      <c r="J494" s="68"/>
      <c r="K494" s="31" t="s">
        <v>65</v>
      </c>
      <c r="L494" s="76">
        <v>494</v>
      </c>
      <c r="M494" s="76"/>
      <c r="N494" s="70"/>
      <c r="O494" s="78" t="s">
        <v>305</v>
      </c>
      <c r="P494" s="78" t="s">
        <v>370</v>
      </c>
      <c r="Q494" s="78" t="s">
        <v>930</v>
      </c>
      <c r="R494" s="78" t="s">
        <v>1321</v>
      </c>
      <c r="S494" s="78"/>
      <c r="T494" s="78"/>
      <c r="U494" s="78"/>
      <c r="V494" s="78"/>
      <c r="W494" s="81" t="s">
        <v>1674</v>
      </c>
      <c r="X494" s="81" t="s">
        <v>1674</v>
      </c>
      <c r="Y494" s="78"/>
      <c r="Z494" s="78"/>
      <c r="AA494" s="81" t="s">
        <v>1674</v>
      </c>
      <c r="AB494" s="79">
        <v>5</v>
      </c>
      <c r="AC494" s="80" t="str">
        <f>REPLACE(INDEX(GroupVertices[Group],MATCH("~"&amp;Edges[[#This Row],[Vertex 1]],GroupVertices[Vertex],0)),1,1,"")</f>
        <v>2</v>
      </c>
      <c r="AD494" s="80" t="str">
        <f>REPLACE(INDEX(GroupVertices[Group],MATCH("~"&amp;Edges[[#This Row],[Vertex 2]],GroupVertices[Vertex],0)),1,1,"")</f>
        <v>5</v>
      </c>
      <c r="AE494" s="105"/>
      <c r="AF494" s="105"/>
      <c r="AG494" s="105"/>
      <c r="AH494" s="105"/>
      <c r="AI494" s="105"/>
      <c r="AJ494" s="105"/>
      <c r="AK494" s="105"/>
      <c r="AL494" s="105"/>
      <c r="AM494" s="105"/>
    </row>
    <row r="495" spans="1:39" ht="15">
      <c r="A495" s="62" t="s">
        <v>254</v>
      </c>
      <c r="B495" s="62" t="s">
        <v>298</v>
      </c>
      <c r="C495" s="63" t="s">
        <v>3599</v>
      </c>
      <c r="D495" s="64">
        <v>6.052631578947368</v>
      </c>
      <c r="E495" s="65" t="s">
        <v>136</v>
      </c>
      <c r="F495" s="66">
        <v>30.037735849056602</v>
      </c>
      <c r="G495" s="63"/>
      <c r="H495" s="67"/>
      <c r="I495" s="68"/>
      <c r="J495" s="68"/>
      <c r="K495" s="31" t="s">
        <v>65</v>
      </c>
      <c r="L495" s="76">
        <v>495</v>
      </c>
      <c r="M495" s="76"/>
      <c r="N495" s="70"/>
      <c r="O495" s="78" t="s">
        <v>305</v>
      </c>
      <c r="P495" s="78" t="s">
        <v>466</v>
      </c>
      <c r="Q495" s="78" t="s">
        <v>931</v>
      </c>
      <c r="R495" s="78" t="s">
        <v>1441</v>
      </c>
      <c r="S495" s="78"/>
      <c r="T495" s="78"/>
      <c r="U495" s="78"/>
      <c r="V495" s="78"/>
      <c r="W495" s="81" t="s">
        <v>1674</v>
      </c>
      <c r="X495" s="81" t="s">
        <v>1674</v>
      </c>
      <c r="Y495" s="78"/>
      <c r="Z495" s="78"/>
      <c r="AA495" s="81" t="s">
        <v>1674</v>
      </c>
      <c r="AB495" s="79">
        <v>5</v>
      </c>
      <c r="AC495" s="80" t="str">
        <f>REPLACE(INDEX(GroupVertices[Group],MATCH("~"&amp;Edges[[#This Row],[Vertex 1]],GroupVertices[Vertex],0)),1,1,"")</f>
        <v>2</v>
      </c>
      <c r="AD495" s="80" t="str">
        <f>REPLACE(INDEX(GroupVertices[Group],MATCH("~"&amp;Edges[[#This Row],[Vertex 2]],GroupVertices[Vertex],0)),1,1,"")</f>
        <v>5</v>
      </c>
      <c r="AE495" s="105"/>
      <c r="AF495" s="105"/>
      <c r="AG495" s="105"/>
      <c r="AH495" s="105"/>
      <c r="AI495" s="105"/>
      <c r="AJ495" s="105"/>
      <c r="AK495" s="105"/>
      <c r="AL495" s="105"/>
      <c r="AM495" s="105"/>
    </row>
    <row r="496" spans="1:39" ht="15">
      <c r="A496" s="62" t="s">
        <v>254</v>
      </c>
      <c r="B496" s="62" t="s">
        <v>298</v>
      </c>
      <c r="C496" s="63" t="s">
        <v>3599</v>
      </c>
      <c r="D496" s="64">
        <v>6.052631578947368</v>
      </c>
      <c r="E496" s="65" t="s">
        <v>136</v>
      </c>
      <c r="F496" s="66">
        <v>30.037735849056602</v>
      </c>
      <c r="G496" s="63"/>
      <c r="H496" s="67"/>
      <c r="I496" s="68"/>
      <c r="J496" s="68"/>
      <c r="K496" s="31" t="s">
        <v>65</v>
      </c>
      <c r="L496" s="76">
        <v>496</v>
      </c>
      <c r="M496" s="76"/>
      <c r="N496" s="70"/>
      <c r="O496" s="78" t="s">
        <v>305</v>
      </c>
      <c r="P496" s="78" t="s">
        <v>466</v>
      </c>
      <c r="Q496" s="78" t="s">
        <v>932</v>
      </c>
      <c r="R496" s="78" t="s">
        <v>1441</v>
      </c>
      <c r="S496" s="78"/>
      <c r="T496" s="78"/>
      <c r="U496" s="78"/>
      <c r="V496" s="78"/>
      <c r="W496" s="81" t="s">
        <v>1674</v>
      </c>
      <c r="X496" s="81" t="s">
        <v>1674</v>
      </c>
      <c r="Y496" s="78"/>
      <c r="Z496" s="78"/>
      <c r="AA496" s="81" t="s">
        <v>1674</v>
      </c>
      <c r="AB496" s="79">
        <v>5</v>
      </c>
      <c r="AC496" s="80" t="str">
        <f>REPLACE(INDEX(GroupVertices[Group],MATCH("~"&amp;Edges[[#This Row],[Vertex 1]],GroupVertices[Vertex],0)),1,1,"")</f>
        <v>2</v>
      </c>
      <c r="AD496" s="80" t="str">
        <f>REPLACE(INDEX(GroupVertices[Group],MATCH("~"&amp;Edges[[#This Row],[Vertex 2]],GroupVertices[Vertex],0)),1,1,"")</f>
        <v>5</v>
      </c>
      <c r="AE496" s="105"/>
      <c r="AF496" s="105"/>
      <c r="AG496" s="105"/>
      <c r="AH496" s="105"/>
      <c r="AI496" s="105"/>
      <c r="AJ496" s="105"/>
      <c r="AK496" s="105"/>
      <c r="AL496" s="105"/>
      <c r="AM496" s="105"/>
    </row>
    <row r="497" spans="1:39" ht="15">
      <c r="A497" s="62" t="s">
        <v>254</v>
      </c>
      <c r="B497" s="62" t="s">
        <v>298</v>
      </c>
      <c r="C497" s="63" t="s">
        <v>3599</v>
      </c>
      <c r="D497" s="64">
        <v>6.052631578947368</v>
      </c>
      <c r="E497" s="65" t="s">
        <v>136</v>
      </c>
      <c r="F497" s="66">
        <v>30.037735849056602</v>
      </c>
      <c r="G497" s="63"/>
      <c r="H497" s="67"/>
      <c r="I497" s="68"/>
      <c r="J497" s="68"/>
      <c r="K497" s="31" t="s">
        <v>65</v>
      </c>
      <c r="L497" s="76">
        <v>497</v>
      </c>
      <c r="M497" s="76"/>
      <c r="N497" s="70"/>
      <c r="O497" s="78" t="s">
        <v>305</v>
      </c>
      <c r="P497" s="78" t="s">
        <v>370</v>
      </c>
      <c r="Q497" s="78" t="s">
        <v>933</v>
      </c>
      <c r="R497" s="78" t="s">
        <v>1321</v>
      </c>
      <c r="S497" s="78"/>
      <c r="T497" s="78"/>
      <c r="U497" s="78"/>
      <c r="V497" s="78"/>
      <c r="W497" s="81" t="s">
        <v>1674</v>
      </c>
      <c r="X497" s="81" t="s">
        <v>1674</v>
      </c>
      <c r="Y497" s="78"/>
      <c r="Z497" s="78"/>
      <c r="AA497" s="81" t="s">
        <v>1674</v>
      </c>
      <c r="AB497" s="79">
        <v>5</v>
      </c>
      <c r="AC497" s="80" t="str">
        <f>REPLACE(INDEX(GroupVertices[Group],MATCH("~"&amp;Edges[[#This Row],[Vertex 1]],GroupVertices[Vertex],0)),1,1,"")</f>
        <v>2</v>
      </c>
      <c r="AD497" s="80" t="str">
        <f>REPLACE(INDEX(GroupVertices[Group],MATCH("~"&amp;Edges[[#This Row],[Vertex 2]],GroupVertices[Vertex],0)),1,1,"")</f>
        <v>5</v>
      </c>
      <c r="AE497" s="105"/>
      <c r="AF497" s="105"/>
      <c r="AG497" s="105"/>
      <c r="AH497" s="105"/>
      <c r="AI497" s="105"/>
      <c r="AJ497" s="105"/>
      <c r="AK497" s="105"/>
      <c r="AL497" s="105"/>
      <c r="AM497" s="105"/>
    </row>
    <row r="498" spans="1:39" ht="15">
      <c r="A498" s="62" t="s">
        <v>254</v>
      </c>
      <c r="B498" s="62" t="s">
        <v>298</v>
      </c>
      <c r="C498" s="63" t="s">
        <v>3599</v>
      </c>
      <c r="D498" s="64">
        <v>6.052631578947368</v>
      </c>
      <c r="E498" s="65" t="s">
        <v>136</v>
      </c>
      <c r="F498" s="66">
        <v>30.037735849056602</v>
      </c>
      <c r="G498" s="63"/>
      <c r="H498" s="67"/>
      <c r="I498" s="68"/>
      <c r="J498" s="68"/>
      <c r="K498" s="31" t="s">
        <v>65</v>
      </c>
      <c r="L498" s="76">
        <v>498</v>
      </c>
      <c r="M498" s="76"/>
      <c r="N498" s="70"/>
      <c r="O498" s="78" t="s">
        <v>305</v>
      </c>
      <c r="P498" s="78" t="s">
        <v>370</v>
      </c>
      <c r="Q498" s="78" t="s">
        <v>934</v>
      </c>
      <c r="R498" s="78" t="s">
        <v>1321</v>
      </c>
      <c r="S498" s="78"/>
      <c r="T498" s="78"/>
      <c r="U498" s="78"/>
      <c r="V498" s="78"/>
      <c r="W498" s="81" t="s">
        <v>1674</v>
      </c>
      <c r="X498" s="81" t="s">
        <v>1674</v>
      </c>
      <c r="Y498" s="78"/>
      <c r="Z498" s="78"/>
      <c r="AA498" s="81" t="s">
        <v>1674</v>
      </c>
      <c r="AB498" s="79">
        <v>5</v>
      </c>
      <c r="AC498" s="80" t="str">
        <f>REPLACE(INDEX(GroupVertices[Group],MATCH("~"&amp;Edges[[#This Row],[Vertex 1]],GroupVertices[Vertex],0)),1,1,"")</f>
        <v>2</v>
      </c>
      <c r="AD498" s="80" t="str">
        <f>REPLACE(INDEX(GroupVertices[Group],MATCH("~"&amp;Edges[[#This Row],[Vertex 2]],GroupVertices[Vertex],0)),1,1,"")</f>
        <v>5</v>
      </c>
      <c r="AE498" s="105"/>
      <c r="AF498" s="105"/>
      <c r="AG498" s="105"/>
      <c r="AH498" s="105"/>
      <c r="AI498" s="105"/>
      <c r="AJ498" s="105"/>
      <c r="AK498" s="105"/>
      <c r="AL498" s="105"/>
      <c r="AM498" s="105"/>
    </row>
    <row r="499" spans="1:39" ht="15">
      <c r="A499" s="62" t="s">
        <v>255</v>
      </c>
      <c r="B499" s="62" t="s">
        <v>298</v>
      </c>
      <c r="C499" s="63" t="s">
        <v>3598</v>
      </c>
      <c r="D499" s="64">
        <v>5</v>
      </c>
      <c r="E499" s="65" t="s">
        <v>132</v>
      </c>
      <c r="F499" s="66">
        <v>32</v>
      </c>
      <c r="G499" s="63"/>
      <c r="H499" s="67"/>
      <c r="I499" s="68"/>
      <c r="J499" s="68"/>
      <c r="K499" s="31" t="s">
        <v>65</v>
      </c>
      <c r="L499" s="76">
        <v>499</v>
      </c>
      <c r="M499" s="76"/>
      <c r="N499" s="70"/>
      <c r="O499" s="78" t="s">
        <v>305</v>
      </c>
      <c r="P499" s="78" t="s">
        <v>370</v>
      </c>
      <c r="Q499" s="78" t="s">
        <v>935</v>
      </c>
      <c r="R499" s="78" t="s">
        <v>1321</v>
      </c>
      <c r="S499" s="78"/>
      <c r="T499" s="78"/>
      <c r="U499" s="78"/>
      <c r="V499" s="78"/>
      <c r="W499" s="81" t="s">
        <v>1674</v>
      </c>
      <c r="X499" s="81" t="s">
        <v>1674</v>
      </c>
      <c r="Y499" s="78"/>
      <c r="Z499" s="78"/>
      <c r="AA499" s="81" t="s">
        <v>1674</v>
      </c>
      <c r="AB499" s="79">
        <v>1</v>
      </c>
      <c r="AC499" s="80" t="str">
        <f>REPLACE(INDEX(GroupVertices[Group],MATCH("~"&amp;Edges[[#This Row],[Vertex 1]],GroupVertices[Vertex],0)),1,1,"")</f>
        <v>1</v>
      </c>
      <c r="AD499" s="80" t="str">
        <f>REPLACE(INDEX(GroupVertices[Group],MATCH("~"&amp;Edges[[#This Row],[Vertex 2]],GroupVertices[Vertex],0)),1,1,"")</f>
        <v>5</v>
      </c>
      <c r="AE499" s="105"/>
      <c r="AF499" s="105"/>
      <c r="AG499" s="105"/>
      <c r="AH499" s="105"/>
      <c r="AI499" s="105"/>
      <c r="AJ499" s="105"/>
      <c r="AK499" s="105"/>
      <c r="AL499" s="105"/>
      <c r="AM499" s="105"/>
    </row>
    <row r="500" spans="1:39" ht="15">
      <c r="A500" s="62" t="s">
        <v>256</v>
      </c>
      <c r="B500" s="62" t="s">
        <v>298</v>
      </c>
      <c r="C500" s="63" t="s">
        <v>3598</v>
      </c>
      <c r="D500" s="64">
        <v>5.2631578947368425</v>
      </c>
      <c r="E500" s="65" t="s">
        <v>136</v>
      </c>
      <c r="F500" s="66">
        <v>31.50943396226415</v>
      </c>
      <c r="G500" s="63"/>
      <c r="H500" s="67"/>
      <c r="I500" s="68"/>
      <c r="J500" s="68"/>
      <c r="K500" s="31" t="s">
        <v>65</v>
      </c>
      <c r="L500" s="76">
        <v>500</v>
      </c>
      <c r="M500" s="76"/>
      <c r="N500" s="70"/>
      <c r="O500" s="78" t="s">
        <v>305</v>
      </c>
      <c r="P500" s="78" t="s">
        <v>370</v>
      </c>
      <c r="Q500" s="78" t="s">
        <v>936</v>
      </c>
      <c r="R500" s="78" t="s">
        <v>1321</v>
      </c>
      <c r="S500" s="78"/>
      <c r="T500" s="78"/>
      <c r="U500" s="78"/>
      <c r="V500" s="78"/>
      <c r="W500" s="81" t="s">
        <v>1674</v>
      </c>
      <c r="X500" s="81" t="s">
        <v>1674</v>
      </c>
      <c r="Y500" s="78"/>
      <c r="Z500" s="78"/>
      <c r="AA500" s="81" t="s">
        <v>1674</v>
      </c>
      <c r="AB500" s="79">
        <v>2</v>
      </c>
      <c r="AC500" s="80" t="str">
        <f>REPLACE(INDEX(GroupVertices[Group],MATCH("~"&amp;Edges[[#This Row],[Vertex 1]],GroupVertices[Vertex],0)),1,1,"")</f>
        <v>1</v>
      </c>
      <c r="AD500" s="80" t="str">
        <f>REPLACE(INDEX(GroupVertices[Group],MATCH("~"&amp;Edges[[#This Row],[Vertex 2]],GroupVertices[Vertex],0)),1,1,"")</f>
        <v>5</v>
      </c>
      <c r="AE500" s="105"/>
      <c r="AF500" s="105"/>
      <c r="AG500" s="105"/>
      <c r="AH500" s="105"/>
      <c r="AI500" s="105"/>
      <c r="AJ500" s="105"/>
      <c r="AK500" s="105"/>
      <c r="AL500" s="105"/>
      <c r="AM500" s="105"/>
    </row>
    <row r="501" spans="1:39" ht="15">
      <c r="A501" s="62" t="s">
        <v>256</v>
      </c>
      <c r="B501" s="62" t="s">
        <v>298</v>
      </c>
      <c r="C501" s="63" t="s">
        <v>3598</v>
      </c>
      <c r="D501" s="64">
        <v>5.2631578947368425</v>
      </c>
      <c r="E501" s="65" t="s">
        <v>136</v>
      </c>
      <c r="F501" s="66">
        <v>31.50943396226415</v>
      </c>
      <c r="G501" s="63"/>
      <c r="H501" s="67"/>
      <c r="I501" s="68"/>
      <c r="J501" s="68"/>
      <c r="K501" s="31" t="s">
        <v>65</v>
      </c>
      <c r="L501" s="76">
        <v>501</v>
      </c>
      <c r="M501" s="76"/>
      <c r="N501" s="70"/>
      <c r="O501" s="78" t="s">
        <v>305</v>
      </c>
      <c r="P501" s="78" t="s">
        <v>370</v>
      </c>
      <c r="Q501" s="78" t="s">
        <v>937</v>
      </c>
      <c r="R501" s="78" t="s">
        <v>1321</v>
      </c>
      <c r="S501" s="78"/>
      <c r="T501" s="78"/>
      <c r="U501" s="78"/>
      <c r="V501" s="78"/>
      <c r="W501" s="81" t="s">
        <v>1674</v>
      </c>
      <c r="X501" s="81" t="s">
        <v>1674</v>
      </c>
      <c r="Y501" s="78"/>
      <c r="Z501" s="78"/>
      <c r="AA501" s="81" t="s">
        <v>1674</v>
      </c>
      <c r="AB501" s="79">
        <v>2</v>
      </c>
      <c r="AC501" s="80" t="str">
        <f>REPLACE(INDEX(GroupVertices[Group],MATCH("~"&amp;Edges[[#This Row],[Vertex 1]],GroupVertices[Vertex],0)),1,1,"")</f>
        <v>1</v>
      </c>
      <c r="AD501" s="80" t="str">
        <f>REPLACE(INDEX(GroupVertices[Group],MATCH("~"&amp;Edges[[#This Row],[Vertex 2]],GroupVertices[Vertex],0)),1,1,"")</f>
        <v>5</v>
      </c>
      <c r="AE501" s="105"/>
      <c r="AF501" s="105"/>
      <c r="AG501" s="105"/>
      <c r="AH501" s="105"/>
      <c r="AI501" s="105"/>
      <c r="AJ501" s="105"/>
      <c r="AK501" s="105"/>
      <c r="AL501" s="105"/>
      <c r="AM501" s="105"/>
    </row>
    <row r="502" spans="1:39" ht="15">
      <c r="A502" s="62" t="s">
        <v>260</v>
      </c>
      <c r="B502" s="62" t="s">
        <v>298</v>
      </c>
      <c r="C502" s="63" t="s">
        <v>3598</v>
      </c>
      <c r="D502" s="64">
        <v>5.2631578947368425</v>
      </c>
      <c r="E502" s="65" t="s">
        <v>136</v>
      </c>
      <c r="F502" s="66">
        <v>31.50943396226415</v>
      </c>
      <c r="G502" s="63"/>
      <c r="H502" s="67"/>
      <c r="I502" s="68"/>
      <c r="J502" s="68"/>
      <c r="K502" s="31" t="s">
        <v>65</v>
      </c>
      <c r="L502" s="76">
        <v>502</v>
      </c>
      <c r="M502" s="76"/>
      <c r="N502" s="70"/>
      <c r="O502" s="78" t="s">
        <v>305</v>
      </c>
      <c r="P502" s="78" t="s">
        <v>370</v>
      </c>
      <c r="Q502" s="78" t="s">
        <v>789</v>
      </c>
      <c r="R502" s="78" t="s">
        <v>1321</v>
      </c>
      <c r="S502" s="78"/>
      <c r="T502" s="78"/>
      <c r="U502" s="78"/>
      <c r="V502" s="78"/>
      <c r="W502" s="81" t="s">
        <v>1674</v>
      </c>
      <c r="X502" s="81" t="s">
        <v>1674</v>
      </c>
      <c r="Y502" s="78"/>
      <c r="Z502" s="78"/>
      <c r="AA502" s="81" t="s">
        <v>1674</v>
      </c>
      <c r="AB502" s="79">
        <v>2</v>
      </c>
      <c r="AC502" s="80" t="str">
        <f>REPLACE(INDEX(GroupVertices[Group],MATCH("~"&amp;Edges[[#This Row],[Vertex 1]],GroupVertices[Vertex],0)),1,1,"")</f>
        <v>1</v>
      </c>
      <c r="AD502" s="80" t="str">
        <f>REPLACE(INDEX(GroupVertices[Group],MATCH("~"&amp;Edges[[#This Row],[Vertex 2]],GroupVertices[Vertex],0)),1,1,"")</f>
        <v>5</v>
      </c>
      <c r="AE502" s="105"/>
      <c r="AF502" s="105"/>
      <c r="AG502" s="105"/>
      <c r="AH502" s="105"/>
      <c r="AI502" s="105"/>
      <c r="AJ502" s="105"/>
      <c r="AK502" s="105"/>
      <c r="AL502" s="105"/>
      <c r="AM502" s="105"/>
    </row>
    <row r="503" spans="1:39" ht="15">
      <c r="A503" s="62" t="s">
        <v>260</v>
      </c>
      <c r="B503" s="62" t="s">
        <v>298</v>
      </c>
      <c r="C503" s="63" t="s">
        <v>3598</v>
      </c>
      <c r="D503" s="64">
        <v>5.2631578947368425</v>
      </c>
      <c r="E503" s="65" t="s">
        <v>136</v>
      </c>
      <c r="F503" s="66">
        <v>31.50943396226415</v>
      </c>
      <c r="G503" s="63"/>
      <c r="H503" s="67"/>
      <c r="I503" s="68"/>
      <c r="J503" s="68"/>
      <c r="K503" s="31" t="s">
        <v>65</v>
      </c>
      <c r="L503" s="76">
        <v>503</v>
      </c>
      <c r="M503" s="76"/>
      <c r="N503" s="70"/>
      <c r="O503" s="78" t="s">
        <v>305</v>
      </c>
      <c r="P503" s="78" t="s">
        <v>467</v>
      </c>
      <c r="Q503" s="78" t="s">
        <v>938</v>
      </c>
      <c r="R503" s="78" t="s">
        <v>1442</v>
      </c>
      <c r="S503" s="78"/>
      <c r="T503" s="78"/>
      <c r="U503" s="78"/>
      <c r="V503" s="78"/>
      <c r="W503" s="81" t="s">
        <v>1674</v>
      </c>
      <c r="X503" s="81" t="s">
        <v>1674</v>
      </c>
      <c r="Y503" s="78"/>
      <c r="Z503" s="78"/>
      <c r="AA503" s="81" t="s">
        <v>1674</v>
      </c>
      <c r="AB503" s="79">
        <v>2</v>
      </c>
      <c r="AC503" s="80" t="str">
        <f>REPLACE(INDEX(GroupVertices[Group],MATCH("~"&amp;Edges[[#This Row],[Vertex 1]],GroupVertices[Vertex],0)),1,1,"")</f>
        <v>1</v>
      </c>
      <c r="AD503" s="80" t="str">
        <f>REPLACE(INDEX(GroupVertices[Group],MATCH("~"&amp;Edges[[#This Row],[Vertex 2]],GroupVertices[Vertex],0)),1,1,"")</f>
        <v>5</v>
      </c>
      <c r="AE503" s="105"/>
      <c r="AF503" s="105"/>
      <c r="AG503" s="105"/>
      <c r="AH503" s="105"/>
      <c r="AI503" s="105"/>
      <c r="AJ503" s="105"/>
      <c r="AK503" s="105"/>
      <c r="AL503" s="105"/>
      <c r="AM503" s="105"/>
    </row>
    <row r="504" spans="1:39" ht="15">
      <c r="A504" s="62" t="s">
        <v>280</v>
      </c>
      <c r="B504" s="62" t="s">
        <v>298</v>
      </c>
      <c r="C504" s="63" t="s">
        <v>3598</v>
      </c>
      <c r="D504" s="64">
        <v>5</v>
      </c>
      <c r="E504" s="65" t="s">
        <v>132</v>
      </c>
      <c r="F504" s="66">
        <v>32</v>
      </c>
      <c r="G504" s="63"/>
      <c r="H504" s="67"/>
      <c r="I504" s="68"/>
      <c r="J504" s="68"/>
      <c r="K504" s="31" t="s">
        <v>65</v>
      </c>
      <c r="L504" s="76">
        <v>504</v>
      </c>
      <c r="M504" s="76"/>
      <c r="N504" s="70"/>
      <c r="O504" s="78" t="s">
        <v>305</v>
      </c>
      <c r="P504" s="78" t="s">
        <v>467</v>
      </c>
      <c r="Q504" s="78" t="s">
        <v>939</v>
      </c>
      <c r="R504" s="78" t="s">
        <v>1442</v>
      </c>
      <c r="S504" s="78"/>
      <c r="T504" s="78"/>
      <c r="U504" s="78"/>
      <c r="V504" s="78"/>
      <c r="W504" s="81" t="s">
        <v>1674</v>
      </c>
      <c r="X504" s="81" t="s">
        <v>1674</v>
      </c>
      <c r="Y504" s="78"/>
      <c r="Z504" s="78"/>
      <c r="AA504" s="81" t="s">
        <v>1674</v>
      </c>
      <c r="AB504" s="79">
        <v>1</v>
      </c>
      <c r="AC504" s="80" t="str">
        <f>REPLACE(INDEX(GroupVertices[Group],MATCH("~"&amp;Edges[[#This Row],[Vertex 1]],GroupVertices[Vertex],0)),1,1,"")</f>
        <v>3</v>
      </c>
      <c r="AD504" s="80" t="str">
        <f>REPLACE(INDEX(GroupVertices[Group],MATCH("~"&amp;Edges[[#This Row],[Vertex 2]],GroupVertices[Vertex],0)),1,1,"")</f>
        <v>5</v>
      </c>
      <c r="AE504" s="105"/>
      <c r="AF504" s="105"/>
      <c r="AG504" s="105"/>
      <c r="AH504" s="105"/>
      <c r="AI504" s="105"/>
      <c r="AJ504" s="105"/>
      <c r="AK504" s="105"/>
      <c r="AL504" s="105"/>
      <c r="AM504" s="105"/>
    </row>
    <row r="505" spans="1:39" ht="15">
      <c r="A505" s="62" t="s">
        <v>244</v>
      </c>
      <c r="B505" s="62" t="s">
        <v>249</v>
      </c>
      <c r="C505" s="63" t="s">
        <v>3598</v>
      </c>
      <c r="D505" s="64">
        <v>5.2631578947368425</v>
      </c>
      <c r="E505" s="65" t="s">
        <v>136</v>
      </c>
      <c r="F505" s="66">
        <v>31.50943396226415</v>
      </c>
      <c r="G505" s="63"/>
      <c r="H505" s="67"/>
      <c r="I505" s="68"/>
      <c r="J505" s="68"/>
      <c r="K505" s="31" t="s">
        <v>65</v>
      </c>
      <c r="L505" s="76">
        <v>505</v>
      </c>
      <c r="M505" s="76"/>
      <c r="N505" s="70"/>
      <c r="O505" s="78" t="s">
        <v>305</v>
      </c>
      <c r="P505" s="78" t="s">
        <v>468</v>
      </c>
      <c r="Q505" s="78" t="s">
        <v>940</v>
      </c>
      <c r="R505" s="78" t="s">
        <v>1443</v>
      </c>
      <c r="S505" s="78"/>
      <c r="T505" s="78"/>
      <c r="U505" s="78"/>
      <c r="V505" s="78"/>
      <c r="W505" s="81" t="s">
        <v>1674</v>
      </c>
      <c r="X505" s="81" t="s">
        <v>1674</v>
      </c>
      <c r="Y505" s="78"/>
      <c r="Z505" s="78"/>
      <c r="AA505" s="81" t="s">
        <v>1674</v>
      </c>
      <c r="AB505" s="79">
        <v>2</v>
      </c>
      <c r="AC505" s="80" t="str">
        <f>REPLACE(INDEX(GroupVertices[Group],MATCH("~"&amp;Edges[[#This Row],[Vertex 1]],GroupVertices[Vertex],0)),1,1,"")</f>
        <v>5</v>
      </c>
      <c r="AD505" s="80" t="str">
        <f>REPLACE(INDEX(GroupVertices[Group],MATCH("~"&amp;Edges[[#This Row],[Vertex 2]],GroupVertices[Vertex],0)),1,1,"")</f>
        <v>2</v>
      </c>
      <c r="AE505" s="105"/>
      <c r="AF505" s="105"/>
      <c r="AG505" s="105"/>
      <c r="AH505" s="105"/>
      <c r="AI505" s="105"/>
      <c r="AJ505" s="105"/>
      <c r="AK505" s="105"/>
      <c r="AL505" s="105"/>
      <c r="AM505" s="105"/>
    </row>
    <row r="506" spans="1:39" ht="15">
      <c r="A506" s="62" t="s">
        <v>244</v>
      </c>
      <c r="B506" s="62" t="s">
        <v>249</v>
      </c>
      <c r="C506" s="63" t="s">
        <v>3598</v>
      </c>
      <c r="D506" s="64">
        <v>5.2631578947368425</v>
      </c>
      <c r="E506" s="65" t="s">
        <v>136</v>
      </c>
      <c r="F506" s="66">
        <v>31.50943396226415</v>
      </c>
      <c r="G506" s="63"/>
      <c r="H506" s="67"/>
      <c r="I506" s="68"/>
      <c r="J506" s="68"/>
      <c r="K506" s="31" t="s">
        <v>65</v>
      </c>
      <c r="L506" s="76">
        <v>506</v>
      </c>
      <c r="M506" s="76"/>
      <c r="N506" s="70"/>
      <c r="O506" s="78" t="s">
        <v>305</v>
      </c>
      <c r="P506" s="78" t="s">
        <v>468</v>
      </c>
      <c r="Q506" s="78" t="s">
        <v>941</v>
      </c>
      <c r="R506" s="78" t="s">
        <v>1443</v>
      </c>
      <c r="S506" s="78"/>
      <c r="T506" s="78"/>
      <c r="U506" s="78"/>
      <c r="V506" s="78"/>
      <c r="W506" s="81" t="s">
        <v>1674</v>
      </c>
      <c r="X506" s="81" t="s">
        <v>1674</v>
      </c>
      <c r="Y506" s="78"/>
      <c r="Z506" s="78"/>
      <c r="AA506" s="81" t="s">
        <v>1674</v>
      </c>
      <c r="AB506" s="79">
        <v>2</v>
      </c>
      <c r="AC506" s="80" t="str">
        <f>REPLACE(INDEX(GroupVertices[Group],MATCH("~"&amp;Edges[[#This Row],[Vertex 1]],GroupVertices[Vertex],0)),1,1,"")</f>
        <v>5</v>
      </c>
      <c r="AD506" s="80" t="str">
        <f>REPLACE(INDEX(GroupVertices[Group],MATCH("~"&amp;Edges[[#This Row],[Vertex 2]],GroupVertices[Vertex],0)),1,1,"")</f>
        <v>2</v>
      </c>
      <c r="AE506" s="105"/>
      <c r="AF506" s="105"/>
      <c r="AG506" s="105"/>
      <c r="AH506" s="105"/>
      <c r="AI506" s="105"/>
      <c r="AJ506" s="105"/>
      <c r="AK506" s="105"/>
      <c r="AL506" s="105"/>
      <c r="AM506" s="105"/>
    </row>
    <row r="507" spans="1:39" ht="15">
      <c r="A507" s="62" t="s">
        <v>244</v>
      </c>
      <c r="B507" s="62" t="s">
        <v>242</v>
      </c>
      <c r="C507" s="63" t="s">
        <v>3598</v>
      </c>
      <c r="D507" s="64">
        <v>5.2631578947368425</v>
      </c>
      <c r="E507" s="65" t="s">
        <v>136</v>
      </c>
      <c r="F507" s="66">
        <v>31.50943396226415</v>
      </c>
      <c r="G507" s="63"/>
      <c r="H507" s="67"/>
      <c r="I507" s="68"/>
      <c r="J507" s="68"/>
      <c r="K507" s="31" t="s">
        <v>65</v>
      </c>
      <c r="L507" s="76">
        <v>507</v>
      </c>
      <c r="M507" s="76"/>
      <c r="N507" s="70"/>
      <c r="O507" s="78" t="s">
        <v>305</v>
      </c>
      <c r="P507" s="78" t="s">
        <v>469</v>
      </c>
      <c r="Q507" s="78" t="s">
        <v>942</v>
      </c>
      <c r="R507" s="78" t="s">
        <v>1444</v>
      </c>
      <c r="S507" s="78"/>
      <c r="T507" s="78"/>
      <c r="U507" s="78"/>
      <c r="V507" s="78"/>
      <c r="W507" s="81" t="s">
        <v>1674</v>
      </c>
      <c r="X507" s="81" t="s">
        <v>1674</v>
      </c>
      <c r="Y507" s="78"/>
      <c r="Z507" s="78"/>
      <c r="AA507" s="81" t="s">
        <v>1674</v>
      </c>
      <c r="AB507" s="79">
        <v>2</v>
      </c>
      <c r="AC507" s="80" t="str">
        <f>REPLACE(INDEX(GroupVertices[Group],MATCH("~"&amp;Edges[[#This Row],[Vertex 1]],GroupVertices[Vertex],0)),1,1,"")</f>
        <v>5</v>
      </c>
      <c r="AD507" s="80" t="str">
        <f>REPLACE(INDEX(GroupVertices[Group],MATCH("~"&amp;Edges[[#This Row],[Vertex 2]],GroupVertices[Vertex],0)),1,1,"")</f>
        <v>5</v>
      </c>
      <c r="AE507" s="105"/>
      <c r="AF507" s="105"/>
      <c r="AG507" s="105"/>
      <c r="AH507" s="105"/>
      <c r="AI507" s="105"/>
      <c r="AJ507" s="105"/>
      <c r="AK507" s="105"/>
      <c r="AL507" s="105"/>
      <c r="AM507" s="105"/>
    </row>
    <row r="508" spans="1:39" ht="15">
      <c r="A508" s="62" t="s">
        <v>244</v>
      </c>
      <c r="B508" s="62" t="s">
        <v>242</v>
      </c>
      <c r="C508" s="63" t="s">
        <v>3598</v>
      </c>
      <c r="D508" s="64">
        <v>5.2631578947368425</v>
      </c>
      <c r="E508" s="65" t="s">
        <v>136</v>
      </c>
      <c r="F508" s="66">
        <v>31.50943396226415</v>
      </c>
      <c r="G508" s="63"/>
      <c r="H508" s="67"/>
      <c r="I508" s="68"/>
      <c r="J508" s="68"/>
      <c r="K508" s="31" t="s">
        <v>65</v>
      </c>
      <c r="L508" s="76">
        <v>508</v>
      </c>
      <c r="M508" s="76"/>
      <c r="N508" s="70"/>
      <c r="O508" s="78" t="s">
        <v>305</v>
      </c>
      <c r="P508" s="78" t="s">
        <v>470</v>
      </c>
      <c r="Q508" s="78" t="s">
        <v>943</v>
      </c>
      <c r="R508" s="78" t="s">
        <v>1445</v>
      </c>
      <c r="S508" s="78"/>
      <c r="T508" s="78"/>
      <c r="U508" s="78"/>
      <c r="V508" s="78"/>
      <c r="W508" s="81" t="s">
        <v>1674</v>
      </c>
      <c r="X508" s="81" t="s">
        <v>1674</v>
      </c>
      <c r="Y508" s="78"/>
      <c r="Z508" s="78"/>
      <c r="AA508" s="81" t="s">
        <v>1674</v>
      </c>
      <c r="AB508" s="79">
        <v>2</v>
      </c>
      <c r="AC508" s="80" t="str">
        <f>REPLACE(INDEX(GroupVertices[Group],MATCH("~"&amp;Edges[[#This Row],[Vertex 1]],GroupVertices[Vertex],0)),1,1,"")</f>
        <v>5</v>
      </c>
      <c r="AD508" s="80" t="str">
        <f>REPLACE(INDEX(GroupVertices[Group],MATCH("~"&amp;Edges[[#This Row],[Vertex 2]],GroupVertices[Vertex],0)),1,1,"")</f>
        <v>5</v>
      </c>
      <c r="AE508" s="105"/>
      <c r="AF508" s="105"/>
      <c r="AG508" s="105"/>
      <c r="AH508" s="105"/>
      <c r="AI508" s="105"/>
      <c r="AJ508" s="105"/>
      <c r="AK508" s="105"/>
      <c r="AL508" s="105"/>
      <c r="AM508" s="105"/>
    </row>
    <row r="509" spans="1:39" ht="15">
      <c r="A509" s="62" t="s">
        <v>244</v>
      </c>
      <c r="B509" s="62" t="s">
        <v>270</v>
      </c>
      <c r="C509" s="63" t="s">
        <v>3598</v>
      </c>
      <c r="D509" s="64">
        <v>5.2631578947368425</v>
      </c>
      <c r="E509" s="65" t="s">
        <v>136</v>
      </c>
      <c r="F509" s="66">
        <v>31.50943396226415</v>
      </c>
      <c r="G509" s="63"/>
      <c r="H509" s="67"/>
      <c r="I509" s="68"/>
      <c r="J509" s="68"/>
      <c r="K509" s="31" t="s">
        <v>65</v>
      </c>
      <c r="L509" s="76">
        <v>509</v>
      </c>
      <c r="M509" s="76"/>
      <c r="N509" s="70"/>
      <c r="O509" s="78" t="s">
        <v>305</v>
      </c>
      <c r="P509" s="78" t="s">
        <v>468</v>
      </c>
      <c r="Q509" s="78" t="s">
        <v>940</v>
      </c>
      <c r="R509" s="78" t="s">
        <v>1133</v>
      </c>
      <c r="S509" s="78"/>
      <c r="T509" s="78"/>
      <c r="U509" s="78"/>
      <c r="V509" s="78"/>
      <c r="W509" s="81" t="s">
        <v>1674</v>
      </c>
      <c r="X509" s="81" t="s">
        <v>1674</v>
      </c>
      <c r="Y509" s="78"/>
      <c r="Z509" s="78"/>
      <c r="AA509" s="81" t="s">
        <v>1674</v>
      </c>
      <c r="AB509" s="79">
        <v>2</v>
      </c>
      <c r="AC509" s="80" t="str">
        <f>REPLACE(INDEX(GroupVertices[Group],MATCH("~"&amp;Edges[[#This Row],[Vertex 1]],GroupVertices[Vertex],0)),1,1,"")</f>
        <v>5</v>
      </c>
      <c r="AD509" s="80" t="str">
        <f>REPLACE(INDEX(GroupVertices[Group],MATCH("~"&amp;Edges[[#This Row],[Vertex 2]],GroupVertices[Vertex],0)),1,1,"")</f>
        <v>2</v>
      </c>
      <c r="AE509" s="105"/>
      <c r="AF509" s="105"/>
      <c r="AG509" s="105"/>
      <c r="AH509" s="105"/>
      <c r="AI509" s="105"/>
      <c r="AJ509" s="105"/>
      <c r="AK509" s="105"/>
      <c r="AL509" s="105"/>
      <c r="AM509" s="105"/>
    </row>
    <row r="510" spans="1:39" ht="15">
      <c r="A510" s="62" t="s">
        <v>244</v>
      </c>
      <c r="B510" s="62" t="s">
        <v>270</v>
      </c>
      <c r="C510" s="63" t="s">
        <v>3598</v>
      </c>
      <c r="D510" s="64">
        <v>5.2631578947368425</v>
      </c>
      <c r="E510" s="65" t="s">
        <v>136</v>
      </c>
      <c r="F510" s="66">
        <v>31.50943396226415</v>
      </c>
      <c r="G510" s="63"/>
      <c r="H510" s="67"/>
      <c r="I510" s="68"/>
      <c r="J510" s="68"/>
      <c r="K510" s="31" t="s">
        <v>65</v>
      </c>
      <c r="L510" s="76">
        <v>510</v>
      </c>
      <c r="M510" s="76"/>
      <c r="N510" s="70"/>
      <c r="O510" s="78" t="s">
        <v>305</v>
      </c>
      <c r="P510" s="78" t="s">
        <v>468</v>
      </c>
      <c r="Q510" s="78" t="s">
        <v>941</v>
      </c>
      <c r="R510" s="78" t="s">
        <v>1133</v>
      </c>
      <c r="S510" s="78"/>
      <c r="T510" s="78"/>
      <c r="U510" s="78"/>
      <c r="V510" s="78"/>
      <c r="W510" s="81" t="s">
        <v>1674</v>
      </c>
      <c r="X510" s="81" t="s">
        <v>1674</v>
      </c>
      <c r="Y510" s="78"/>
      <c r="Z510" s="78"/>
      <c r="AA510" s="81" t="s">
        <v>1674</v>
      </c>
      <c r="AB510" s="79">
        <v>2</v>
      </c>
      <c r="AC510" s="80" t="str">
        <f>REPLACE(INDEX(GroupVertices[Group],MATCH("~"&amp;Edges[[#This Row],[Vertex 1]],GroupVertices[Vertex],0)),1,1,"")</f>
        <v>5</v>
      </c>
      <c r="AD510" s="80" t="str">
        <f>REPLACE(INDEX(GroupVertices[Group],MATCH("~"&amp;Edges[[#This Row],[Vertex 2]],GroupVertices[Vertex],0)),1,1,"")</f>
        <v>2</v>
      </c>
      <c r="AE510" s="105"/>
      <c r="AF510" s="105"/>
      <c r="AG510" s="105"/>
      <c r="AH510" s="105"/>
      <c r="AI510" s="105"/>
      <c r="AJ510" s="105"/>
      <c r="AK510" s="105"/>
      <c r="AL510" s="105"/>
      <c r="AM510" s="105"/>
    </row>
    <row r="511" spans="1:39" ht="15">
      <c r="A511" s="62" t="s">
        <v>244</v>
      </c>
      <c r="B511" s="62" t="s">
        <v>243</v>
      </c>
      <c r="C511" s="63" t="s">
        <v>3599</v>
      </c>
      <c r="D511" s="64">
        <v>6.315789473684211</v>
      </c>
      <c r="E511" s="65" t="s">
        <v>136</v>
      </c>
      <c r="F511" s="66">
        <v>29.547169811320757</v>
      </c>
      <c r="G511" s="63"/>
      <c r="H511" s="67"/>
      <c r="I511" s="68"/>
      <c r="J511" s="68"/>
      <c r="K511" s="31" t="s">
        <v>65</v>
      </c>
      <c r="L511" s="76">
        <v>511</v>
      </c>
      <c r="M511" s="76"/>
      <c r="N511" s="70"/>
      <c r="O511" s="78" t="s">
        <v>305</v>
      </c>
      <c r="P511" s="78" t="s">
        <v>468</v>
      </c>
      <c r="Q511" s="78" t="s">
        <v>940</v>
      </c>
      <c r="R511" s="78" t="s">
        <v>1134</v>
      </c>
      <c r="S511" s="78"/>
      <c r="T511" s="78"/>
      <c r="U511" s="78"/>
      <c r="V511" s="78"/>
      <c r="W511" s="81" t="s">
        <v>1674</v>
      </c>
      <c r="X511" s="81" t="s">
        <v>1674</v>
      </c>
      <c r="Y511" s="78"/>
      <c r="Z511" s="78"/>
      <c r="AA511" s="81" t="s">
        <v>1674</v>
      </c>
      <c r="AB511" s="79">
        <v>6</v>
      </c>
      <c r="AC511" s="80" t="str">
        <f>REPLACE(INDEX(GroupVertices[Group],MATCH("~"&amp;Edges[[#This Row],[Vertex 1]],GroupVertices[Vertex],0)),1,1,"")</f>
        <v>5</v>
      </c>
      <c r="AD511" s="80" t="str">
        <f>REPLACE(INDEX(GroupVertices[Group],MATCH("~"&amp;Edges[[#This Row],[Vertex 2]],GroupVertices[Vertex],0)),1,1,"")</f>
        <v>5</v>
      </c>
      <c r="AE511" s="105"/>
      <c r="AF511" s="105"/>
      <c r="AG511" s="105"/>
      <c r="AH511" s="105"/>
      <c r="AI511" s="105"/>
      <c r="AJ511" s="105"/>
      <c r="AK511" s="105"/>
      <c r="AL511" s="105"/>
      <c r="AM511" s="105"/>
    </row>
    <row r="512" spans="1:39" ht="15">
      <c r="A512" s="62" t="s">
        <v>244</v>
      </c>
      <c r="B512" s="62" t="s">
        <v>243</v>
      </c>
      <c r="C512" s="63" t="s">
        <v>3599</v>
      </c>
      <c r="D512" s="64">
        <v>6.315789473684211</v>
      </c>
      <c r="E512" s="65" t="s">
        <v>136</v>
      </c>
      <c r="F512" s="66">
        <v>29.547169811320757</v>
      </c>
      <c r="G512" s="63"/>
      <c r="H512" s="67"/>
      <c r="I512" s="68"/>
      <c r="J512" s="68"/>
      <c r="K512" s="31" t="s">
        <v>65</v>
      </c>
      <c r="L512" s="76">
        <v>512</v>
      </c>
      <c r="M512" s="76"/>
      <c r="N512" s="70"/>
      <c r="O512" s="78" t="s">
        <v>305</v>
      </c>
      <c r="P512" s="78" t="s">
        <v>468</v>
      </c>
      <c r="Q512" s="78" t="s">
        <v>940</v>
      </c>
      <c r="R512" s="78" t="s">
        <v>1135</v>
      </c>
      <c r="S512" s="78"/>
      <c r="T512" s="78"/>
      <c r="U512" s="78"/>
      <c r="V512" s="78"/>
      <c r="W512" s="81" t="s">
        <v>1674</v>
      </c>
      <c r="X512" s="81" t="s">
        <v>1674</v>
      </c>
      <c r="Y512" s="78"/>
      <c r="Z512" s="78"/>
      <c r="AA512" s="81" t="s">
        <v>1674</v>
      </c>
      <c r="AB512" s="79">
        <v>6</v>
      </c>
      <c r="AC512" s="80" t="str">
        <f>REPLACE(INDEX(GroupVertices[Group],MATCH("~"&amp;Edges[[#This Row],[Vertex 1]],GroupVertices[Vertex],0)),1,1,"")</f>
        <v>5</v>
      </c>
      <c r="AD512" s="80" t="str">
        <f>REPLACE(INDEX(GroupVertices[Group],MATCH("~"&amp;Edges[[#This Row],[Vertex 2]],GroupVertices[Vertex],0)),1,1,"")</f>
        <v>5</v>
      </c>
      <c r="AE512" s="105"/>
      <c r="AF512" s="105"/>
      <c r="AG512" s="105"/>
      <c r="AH512" s="105"/>
      <c r="AI512" s="105"/>
      <c r="AJ512" s="105"/>
      <c r="AK512" s="105"/>
      <c r="AL512" s="105"/>
      <c r="AM512" s="105"/>
    </row>
    <row r="513" spans="1:39" ht="15">
      <c r="A513" s="62" t="s">
        <v>244</v>
      </c>
      <c r="B513" s="62" t="s">
        <v>243</v>
      </c>
      <c r="C513" s="63" t="s">
        <v>3599</v>
      </c>
      <c r="D513" s="64">
        <v>6.315789473684211</v>
      </c>
      <c r="E513" s="65" t="s">
        <v>136</v>
      </c>
      <c r="F513" s="66">
        <v>29.547169811320757</v>
      </c>
      <c r="G513" s="63"/>
      <c r="H513" s="67"/>
      <c r="I513" s="68"/>
      <c r="J513" s="68"/>
      <c r="K513" s="31" t="s">
        <v>65</v>
      </c>
      <c r="L513" s="76">
        <v>513</v>
      </c>
      <c r="M513" s="76"/>
      <c r="N513" s="70"/>
      <c r="O513" s="78" t="s">
        <v>305</v>
      </c>
      <c r="P513" s="78" t="s">
        <v>468</v>
      </c>
      <c r="Q513" s="78" t="s">
        <v>940</v>
      </c>
      <c r="R513" s="78" t="s">
        <v>1136</v>
      </c>
      <c r="S513" s="78"/>
      <c r="T513" s="78"/>
      <c r="U513" s="78"/>
      <c r="V513" s="78"/>
      <c r="W513" s="81" t="s">
        <v>1674</v>
      </c>
      <c r="X513" s="81" t="s">
        <v>1674</v>
      </c>
      <c r="Y513" s="78"/>
      <c r="Z513" s="78"/>
      <c r="AA513" s="81" t="s">
        <v>1674</v>
      </c>
      <c r="AB513" s="79">
        <v>6</v>
      </c>
      <c r="AC513" s="80" t="str">
        <f>REPLACE(INDEX(GroupVertices[Group],MATCH("~"&amp;Edges[[#This Row],[Vertex 1]],GroupVertices[Vertex],0)),1,1,"")</f>
        <v>5</v>
      </c>
      <c r="AD513" s="80" t="str">
        <f>REPLACE(INDEX(GroupVertices[Group],MATCH("~"&amp;Edges[[#This Row],[Vertex 2]],GroupVertices[Vertex],0)),1,1,"")</f>
        <v>5</v>
      </c>
      <c r="AE513" s="105"/>
      <c r="AF513" s="105"/>
      <c r="AG513" s="105"/>
      <c r="AH513" s="105"/>
      <c r="AI513" s="105"/>
      <c r="AJ513" s="105"/>
      <c r="AK513" s="105"/>
      <c r="AL513" s="105"/>
      <c r="AM513" s="105"/>
    </row>
    <row r="514" spans="1:39" ht="15">
      <c r="A514" s="62" t="s">
        <v>244</v>
      </c>
      <c r="B514" s="62" t="s">
        <v>243</v>
      </c>
      <c r="C514" s="63" t="s">
        <v>3599</v>
      </c>
      <c r="D514" s="64">
        <v>6.315789473684211</v>
      </c>
      <c r="E514" s="65" t="s">
        <v>136</v>
      </c>
      <c r="F514" s="66">
        <v>29.547169811320757</v>
      </c>
      <c r="G514" s="63"/>
      <c r="H514" s="67"/>
      <c r="I514" s="68"/>
      <c r="J514" s="68"/>
      <c r="K514" s="31" t="s">
        <v>65</v>
      </c>
      <c r="L514" s="76">
        <v>514</v>
      </c>
      <c r="M514" s="76"/>
      <c r="N514" s="70"/>
      <c r="O514" s="78" t="s">
        <v>305</v>
      </c>
      <c r="P514" s="78" t="s">
        <v>468</v>
      </c>
      <c r="Q514" s="78" t="s">
        <v>941</v>
      </c>
      <c r="R514" s="78" t="s">
        <v>1134</v>
      </c>
      <c r="S514" s="78"/>
      <c r="T514" s="78"/>
      <c r="U514" s="78"/>
      <c r="V514" s="78"/>
      <c r="W514" s="81" t="s">
        <v>1674</v>
      </c>
      <c r="X514" s="81" t="s">
        <v>1674</v>
      </c>
      <c r="Y514" s="78"/>
      <c r="Z514" s="78"/>
      <c r="AA514" s="81" t="s">
        <v>1674</v>
      </c>
      <c r="AB514" s="79">
        <v>6</v>
      </c>
      <c r="AC514" s="80" t="str">
        <f>REPLACE(INDEX(GroupVertices[Group],MATCH("~"&amp;Edges[[#This Row],[Vertex 1]],GroupVertices[Vertex],0)),1,1,"")</f>
        <v>5</v>
      </c>
      <c r="AD514" s="80" t="str">
        <f>REPLACE(INDEX(GroupVertices[Group],MATCH("~"&amp;Edges[[#This Row],[Vertex 2]],GroupVertices[Vertex],0)),1,1,"")</f>
        <v>5</v>
      </c>
      <c r="AE514" s="105"/>
      <c r="AF514" s="105"/>
      <c r="AG514" s="105"/>
      <c r="AH514" s="105"/>
      <c r="AI514" s="105"/>
      <c r="AJ514" s="105"/>
      <c r="AK514" s="105"/>
      <c r="AL514" s="105"/>
      <c r="AM514" s="105"/>
    </row>
    <row r="515" spans="1:39" ht="15">
      <c r="A515" s="62" t="s">
        <v>244</v>
      </c>
      <c r="B515" s="62" t="s">
        <v>243</v>
      </c>
      <c r="C515" s="63" t="s">
        <v>3599</v>
      </c>
      <c r="D515" s="64">
        <v>6.315789473684211</v>
      </c>
      <c r="E515" s="65" t="s">
        <v>136</v>
      </c>
      <c r="F515" s="66">
        <v>29.547169811320757</v>
      </c>
      <c r="G515" s="63"/>
      <c r="H515" s="67"/>
      <c r="I515" s="68"/>
      <c r="J515" s="68"/>
      <c r="K515" s="31" t="s">
        <v>65</v>
      </c>
      <c r="L515" s="76">
        <v>515</v>
      </c>
      <c r="M515" s="76"/>
      <c r="N515" s="70"/>
      <c r="O515" s="78" t="s">
        <v>305</v>
      </c>
      <c r="P515" s="78" t="s">
        <v>468</v>
      </c>
      <c r="Q515" s="78" t="s">
        <v>941</v>
      </c>
      <c r="R515" s="78" t="s">
        <v>1135</v>
      </c>
      <c r="S515" s="78"/>
      <c r="T515" s="78"/>
      <c r="U515" s="78"/>
      <c r="V515" s="78"/>
      <c r="W515" s="81" t="s">
        <v>1674</v>
      </c>
      <c r="X515" s="81" t="s">
        <v>1674</v>
      </c>
      <c r="Y515" s="78"/>
      <c r="Z515" s="78"/>
      <c r="AA515" s="81" t="s">
        <v>1674</v>
      </c>
      <c r="AB515" s="79">
        <v>6</v>
      </c>
      <c r="AC515" s="80" t="str">
        <f>REPLACE(INDEX(GroupVertices[Group],MATCH("~"&amp;Edges[[#This Row],[Vertex 1]],GroupVertices[Vertex],0)),1,1,"")</f>
        <v>5</v>
      </c>
      <c r="AD515" s="80" t="str">
        <f>REPLACE(INDEX(GroupVertices[Group],MATCH("~"&amp;Edges[[#This Row],[Vertex 2]],GroupVertices[Vertex],0)),1,1,"")</f>
        <v>5</v>
      </c>
      <c r="AE515" s="105"/>
      <c r="AF515" s="105"/>
      <c r="AG515" s="105"/>
      <c r="AH515" s="105"/>
      <c r="AI515" s="105"/>
      <c r="AJ515" s="105"/>
      <c r="AK515" s="105"/>
      <c r="AL515" s="105"/>
      <c r="AM515" s="105"/>
    </row>
    <row r="516" spans="1:39" ht="15">
      <c r="A516" s="62" t="s">
        <v>244</v>
      </c>
      <c r="B516" s="62" t="s">
        <v>243</v>
      </c>
      <c r="C516" s="63" t="s">
        <v>3599</v>
      </c>
      <c r="D516" s="64">
        <v>6.315789473684211</v>
      </c>
      <c r="E516" s="65" t="s">
        <v>136</v>
      </c>
      <c r="F516" s="66">
        <v>29.547169811320757</v>
      </c>
      <c r="G516" s="63"/>
      <c r="H516" s="67"/>
      <c r="I516" s="68"/>
      <c r="J516" s="68"/>
      <c r="K516" s="31" t="s">
        <v>65</v>
      </c>
      <c r="L516" s="76">
        <v>516</v>
      </c>
      <c r="M516" s="76"/>
      <c r="N516" s="70"/>
      <c r="O516" s="78" t="s">
        <v>305</v>
      </c>
      <c r="P516" s="78" t="s">
        <v>468</v>
      </c>
      <c r="Q516" s="78" t="s">
        <v>941</v>
      </c>
      <c r="R516" s="78" t="s">
        <v>1136</v>
      </c>
      <c r="S516" s="78"/>
      <c r="T516" s="78"/>
      <c r="U516" s="78"/>
      <c r="V516" s="78"/>
      <c r="W516" s="81" t="s">
        <v>1674</v>
      </c>
      <c r="X516" s="81" t="s">
        <v>1674</v>
      </c>
      <c r="Y516" s="78"/>
      <c r="Z516" s="78"/>
      <c r="AA516" s="81" t="s">
        <v>1674</v>
      </c>
      <c r="AB516" s="79">
        <v>6</v>
      </c>
      <c r="AC516" s="80" t="str">
        <f>REPLACE(INDEX(GroupVertices[Group],MATCH("~"&amp;Edges[[#This Row],[Vertex 1]],GroupVertices[Vertex],0)),1,1,"")</f>
        <v>5</v>
      </c>
      <c r="AD516" s="80" t="str">
        <f>REPLACE(INDEX(GroupVertices[Group],MATCH("~"&amp;Edges[[#This Row],[Vertex 2]],GroupVertices[Vertex],0)),1,1,"")</f>
        <v>5</v>
      </c>
      <c r="AE516" s="105"/>
      <c r="AF516" s="105"/>
      <c r="AG516" s="105"/>
      <c r="AH516" s="105"/>
      <c r="AI516" s="105"/>
      <c r="AJ516" s="105"/>
      <c r="AK516" s="105"/>
      <c r="AL516" s="105"/>
      <c r="AM516" s="105"/>
    </row>
    <row r="517" spans="1:39" ht="15">
      <c r="A517" s="62" t="s">
        <v>280</v>
      </c>
      <c r="B517" s="62" t="s">
        <v>244</v>
      </c>
      <c r="C517" s="63" t="s">
        <v>3598</v>
      </c>
      <c r="D517" s="64">
        <v>5</v>
      </c>
      <c r="E517" s="65" t="s">
        <v>132</v>
      </c>
      <c r="F517" s="66">
        <v>32</v>
      </c>
      <c r="G517" s="63"/>
      <c r="H517" s="67"/>
      <c r="I517" s="68"/>
      <c r="J517" s="68"/>
      <c r="K517" s="31" t="s">
        <v>65</v>
      </c>
      <c r="L517" s="76">
        <v>517</v>
      </c>
      <c r="M517" s="76"/>
      <c r="N517" s="70"/>
      <c r="O517" s="78" t="s">
        <v>305</v>
      </c>
      <c r="P517" s="78" t="s">
        <v>471</v>
      </c>
      <c r="Q517" s="78" t="s">
        <v>944</v>
      </c>
      <c r="R517" s="78" t="s">
        <v>1446</v>
      </c>
      <c r="S517" s="78"/>
      <c r="T517" s="78"/>
      <c r="U517" s="78"/>
      <c r="V517" s="78"/>
      <c r="W517" s="81" t="s">
        <v>1674</v>
      </c>
      <c r="X517" s="81" t="s">
        <v>1674</v>
      </c>
      <c r="Y517" s="78"/>
      <c r="Z517" s="78"/>
      <c r="AA517" s="81" t="s">
        <v>1674</v>
      </c>
      <c r="AB517" s="79">
        <v>1</v>
      </c>
      <c r="AC517" s="80" t="str">
        <f>REPLACE(INDEX(GroupVertices[Group],MATCH("~"&amp;Edges[[#This Row],[Vertex 1]],GroupVertices[Vertex],0)),1,1,"")</f>
        <v>3</v>
      </c>
      <c r="AD517" s="80" t="str">
        <f>REPLACE(INDEX(GroupVertices[Group],MATCH("~"&amp;Edges[[#This Row],[Vertex 2]],GroupVertices[Vertex],0)),1,1,"")</f>
        <v>5</v>
      </c>
      <c r="AE517" s="105"/>
      <c r="AF517" s="105"/>
      <c r="AG517" s="105"/>
      <c r="AH517" s="105"/>
      <c r="AI517" s="105"/>
      <c r="AJ517" s="105"/>
      <c r="AK517" s="105"/>
      <c r="AL517" s="105"/>
      <c r="AM517" s="105"/>
    </row>
    <row r="518" spans="1:39" ht="15">
      <c r="A518" s="62" t="s">
        <v>228</v>
      </c>
      <c r="B518" s="62" t="s">
        <v>294</v>
      </c>
      <c r="C518" s="63" t="s">
        <v>3598</v>
      </c>
      <c r="D518" s="64">
        <v>5.2631578947368425</v>
      </c>
      <c r="E518" s="65" t="s">
        <v>136</v>
      </c>
      <c r="F518" s="66">
        <v>31.50943396226415</v>
      </c>
      <c r="G518" s="63"/>
      <c r="H518" s="67"/>
      <c r="I518" s="68"/>
      <c r="J518" s="68"/>
      <c r="K518" s="31" t="s">
        <v>65</v>
      </c>
      <c r="L518" s="76">
        <v>518</v>
      </c>
      <c r="M518" s="76"/>
      <c r="N518" s="70"/>
      <c r="O518" s="78" t="s">
        <v>305</v>
      </c>
      <c r="P518" s="78" t="s">
        <v>472</v>
      </c>
      <c r="Q518" s="78" t="s">
        <v>945</v>
      </c>
      <c r="R518" s="78" t="s">
        <v>1447</v>
      </c>
      <c r="S518" s="78"/>
      <c r="T518" s="78"/>
      <c r="U518" s="78"/>
      <c r="V518" s="78"/>
      <c r="W518" s="81" t="s">
        <v>1674</v>
      </c>
      <c r="X518" s="81" t="s">
        <v>1674</v>
      </c>
      <c r="Y518" s="78"/>
      <c r="Z518" s="78"/>
      <c r="AA518" s="81" t="s">
        <v>1674</v>
      </c>
      <c r="AB518" s="79">
        <v>2</v>
      </c>
      <c r="AC518" s="80" t="str">
        <f>REPLACE(INDEX(GroupVertices[Group],MATCH("~"&amp;Edges[[#This Row],[Vertex 1]],GroupVertices[Vertex],0)),1,1,"")</f>
        <v>1</v>
      </c>
      <c r="AD518" s="80" t="str">
        <f>REPLACE(INDEX(GroupVertices[Group],MATCH("~"&amp;Edges[[#This Row],[Vertex 2]],GroupVertices[Vertex],0)),1,1,"")</f>
        <v>2</v>
      </c>
      <c r="AE518" s="105"/>
      <c r="AF518" s="105"/>
      <c r="AG518" s="105"/>
      <c r="AH518" s="105"/>
      <c r="AI518" s="105"/>
      <c r="AJ518" s="105"/>
      <c r="AK518" s="105"/>
      <c r="AL518" s="105"/>
      <c r="AM518" s="105"/>
    </row>
    <row r="519" spans="1:39" ht="15">
      <c r="A519" s="62" t="s">
        <v>228</v>
      </c>
      <c r="B519" s="62" t="s">
        <v>294</v>
      </c>
      <c r="C519" s="63" t="s">
        <v>3598</v>
      </c>
      <c r="D519" s="64">
        <v>5.2631578947368425</v>
      </c>
      <c r="E519" s="65" t="s">
        <v>136</v>
      </c>
      <c r="F519" s="66">
        <v>31.50943396226415</v>
      </c>
      <c r="G519" s="63"/>
      <c r="H519" s="67"/>
      <c r="I519" s="68"/>
      <c r="J519" s="68"/>
      <c r="K519" s="31" t="s">
        <v>65</v>
      </c>
      <c r="L519" s="76">
        <v>519</v>
      </c>
      <c r="M519" s="76"/>
      <c r="N519" s="70"/>
      <c r="O519" s="78" t="s">
        <v>305</v>
      </c>
      <c r="P519" s="78" t="s">
        <v>472</v>
      </c>
      <c r="Q519" s="78" t="s">
        <v>946</v>
      </c>
      <c r="R519" s="78" t="s">
        <v>1447</v>
      </c>
      <c r="S519" s="78"/>
      <c r="T519" s="78"/>
      <c r="U519" s="78"/>
      <c r="V519" s="78"/>
      <c r="W519" s="81" t="s">
        <v>1674</v>
      </c>
      <c r="X519" s="81" t="s">
        <v>1674</v>
      </c>
      <c r="Y519" s="78"/>
      <c r="Z519" s="78"/>
      <c r="AA519" s="81" t="s">
        <v>1674</v>
      </c>
      <c r="AB519" s="79">
        <v>2</v>
      </c>
      <c r="AC519" s="80" t="str">
        <f>REPLACE(INDEX(GroupVertices[Group],MATCH("~"&amp;Edges[[#This Row],[Vertex 1]],GroupVertices[Vertex],0)),1,1,"")</f>
        <v>1</v>
      </c>
      <c r="AD519" s="80" t="str">
        <f>REPLACE(INDEX(GroupVertices[Group],MATCH("~"&amp;Edges[[#This Row],[Vertex 2]],GroupVertices[Vertex],0)),1,1,"")</f>
        <v>2</v>
      </c>
      <c r="AE519" s="105"/>
      <c r="AF519" s="105"/>
      <c r="AG519" s="105"/>
      <c r="AH519" s="105"/>
      <c r="AI519" s="105"/>
      <c r="AJ519" s="105"/>
      <c r="AK519" s="105"/>
      <c r="AL519" s="105"/>
      <c r="AM519" s="105"/>
    </row>
    <row r="520" spans="1:39" ht="15">
      <c r="A520" s="62" t="s">
        <v>228</v>
      </c>
      <c r="B520" s="62" t="s">
        <v>242</v>
      </c>
      <c r="C520" s="63" t="s">
        <v>3598</v>
      </c>
      <c r="D520" s="64">
        <v>5</v>
      </c>
      <c r="E520" s="65" t="s">
        <v>132</v>
      </c>
      <c r="F520" s="66">
        <v>32</v>
      </c>
      <c r="G520" s="63"/>
      <c r="H520" s="67"/>
      <c r="I520" s="68"/>
      <c r="J520" s="68"/>
      <c r="K520" s="31" t="s">
        <v>65</v>
      </c>
      <c r="L520" s="76">
        <v>520</v>
      </c>
      <c r="M520" s="76"/>
      <c r="N520" s="70"/>
      <c r="O520" s="78" t="s">
        <v>305</v>
      </c>
      <c r="P520" s="78" t="s">
        <v>443</v>
      </c>
      <c r="Q520" s="78" t="s">
        <v>947</v>
      </c>
      <c r="R520" s="78" t="s">
        <v>1417</v>
      </c>
      <c r="S520" s="78"/>
      <c r="T520" s="78"/>
      <c r="U520" s="78"/>
      <c r="V520" s="78"/>
      <c r="W520" s="81" t="s">
        <v>1674</v>
      </c>
      <c r="X520" s="81" t="s">
        <v>1674</v>
      </c>
      <c r="Y520" s="78"/>
      <c r="Z520" s="78"/>
      <c r="AA520" s="81" t="s">
        <v>1674</v>
      </c>
      <c r="AB520" s="79">
        <v>1</v>
      </c>
      <c r="AC520" s="80" t="str">
        <f>REPLACE(INDEX(GroupVertices[Group],MATCH("~"&amp;Edges[[#This Row],[Vertex 1]],GroupVertices[Vertex],0)),1,1,"")</f>
        <v>1</v>
      </c>
      <c r="AD520" s="80" t="str">
        <f>REPLACE(INDEX(GroupVertices[Group],MATCH("~"&amp;Edges[[#This Row],[Vertex 2]],GroupVertices[Vertex],0)),1,1,"")</f>
        <v>5</v>
      </c>
      <c r="AE520" s="105"/>
      <c r="AF520" s="105"/>
      <c r="AG520" s="105"/>
      <c r="AH520" s="105"/>
      <c r="AI520" s="105"/>
      <c r="AJ520" s="105"/>
      <c r="AK520" s="105"/>
      <c r="AL520" s="105"/>
      <c r="AM520" s="105"/>
    </row>
    <row r="521" spans="1:39" ht="15">
      <c r="A521" s="62" t="s">
        <v>228</v>
      </c>
      <c r="B521" s="62" t="s">
        <v>268</v>
      </c>
      <c r="C521" s="63" t="s">
        <v>3598</v>
      </c>
      <c r="D521" s="64">
        <v>5</v>
      </c>
      <c r="E521" s="65" t="s">
        <v>132</v>
      </c>
      <c r="F521" s="66">
        <v>32</v>
      </c>
      <c r="G521" s="63"/>
      <c r="H521" s="67"/>
      <c r="I521" s="68"/>
      <c r="J521" s="68"/>
      <c r="K521" s="31" t="s">
        <v>65</v>
      </c>
      <c r="L521" s="76">
        <v>521</v>
      </c>
      <c r="M521" s="76"/>
      <c r="N521" s="70"/>
      <c r="O521" s="78" t="s">
        <v>305</v>
      </c>
      <c r="P521" s="78" t="s">
        <v>473</v>
      </c>
      <c r="Q521" s="78" t="s">
        <v>948</v>
      </c>
      <c r="R521" s="78" t="s">
        <v>1448</v>
      </c>
      <c r="S521" s="78"/>
      <c r="T521" s="78"/>
      <c r="U521" s="78"/>
      <c r="V521" s="78"/>
      <c r="W521" s="81" t="s">
        <v>1674</v>
      </c>
      <c r="X521" s="81" t="s">
        <v>1674</v>
      </c>
      <c r="Y521" s="78"/>
      <c r="Z521" s="78"/>
      <c r="AA521" s="81" t="s">
        <v>1674</v>
      </c>
      <c r="AB521" s="79">
        <v>1</v>
      </c>
      <c r="AC521" s="80" t="str">
        <f>REPLACE(INDEX(GroupVertices[Group],MATCH("~"&amp;Edges[[#This Row],[Vertex 1]],GroupVertices[Vertex],0)),1,1,"")</f>
        <v>1</v>
      </c>
      <c r="AD521" s="80" t="str">
        <f>REPLACE(INDEX(GroupVertices[Group],MATCH("~"&amp;Edges[[#This Row],[Vertex 2]],GroupVertices[Vertex],0)),1,1,"")</f>
        <v>6</v>
      </c>
      <c r="AE521" s="105"/>
      <c r="AF521" s="105"/>
      <c r="AG521" s="105"/>
      <c r="AH521" s="105"/>
      <c r="AI521" s="105"/>
      <c r="AJ521" s="105"/>
      <c r="AK521" s="105"/>
      <c r="AL521" s="105"/>
      <c r="AM521" s="105"/>
    </row>
    <row r="522" spans="1:39" ht="15">
      <c r="A522" s="62" t="s">
        <v>228</v>
      </c>
      <c r="B522" s="62" t="s">
        <v>253</v>
      </c>
      <c r="C522" s="63" t="s">
        <v>3598</v>
      </c>
      <c r="D522" s="64">
        <v>5</v>
      </c>
      <c r="E522" s="65" t="s">
        <v>132</v>
      </c>
      <c r="F522" s="66">
        <v>32</v>
      </c>
      <c r="G522" s="63"/>
      <c r="H522" s="67"/>
      <c r="I522" s="68"/>
      <c r="J522" s="68"/>
      <c r="K522" s="31" t="s">
        <v>65</v>
      </c>
      <c r="L522" s="76">
        <v>522</v>
      </c>
      <c r="M522" s="76"/>
      <c r="N522" s="70"/>
      <c r="O522" s="78" t="s">
        <v>305</v>
      </c>
      <c r="P522" s="78" t="s">
        <v>474</v>
      </c>
      <c r="Q522" s="78" t="s">
        <v>949</v>
      </c>
      <c r="R522" s="78" t="s">
        <v>1449</v>
      </c>
      <c r="S522" s="78"/>
      <c r="T522" s="78"/>
      <c r="U522" s="78"/>
      <c r="V522" s="78"/>
      <c r="W522" s="81" t="s">
        <v>1674</v>
      </c>
      <c r="X522" s="81" t="s">
        <v>1674</v>
      </c>
      <c r="Y522" s="78"/>
      <c r="Z522" s="78"/>
      <c r="AA522" s="81" t="s">
        <v>1674</v>
      </c>
      <c r="AB522" s="79">
        <v>1</v>
      </c>
      <c r="AC522" s="80" t="str">
        <f>REPLACE(INDEX(GroupVertices[Group],MATCH("~"&amp;Edges[[#This Row],[Vertex 1]],GroupVertices[Vertex],0)),1,1,"")</f>
        <v>1</v>
      </c>
      <c r="AD522" s="80" t="str">
        <f>REPLACE(INDEX(GroupVertices[Group],MATCH("~"&amp;Edges[[#This Row],[Vertex 2]],GroupVertices[Vertex],0)),1,1,"")</f>
        <v>1</v>
      </c>
      <c r="AE522" s="105"/>
      <c r="AF522" s="105"/>
      <c r="AG522" s="105"/>
      <c r="AH522" s="105"/>
      <c r="AI522" s="105"/>
      <c r="AJ522" s="105"/>
      <c r="AK522" s="105"/>
      <c r="AL522" s="105"/>
      <c r="AM522" s="105"/>
    </row>
    <row r="523" spans="1:39" ht="15">
      <c r="A523" s="62" t="s">
        <v>228</v>
      </c>
      <c r="B523" s="62" t="s">
        <v>245</v>
      </c>
      <c r="C523" s="63" t="s">
        <v>3598</v>
      </c>
      <c r="D523" s="64">
        <v>5</v>
      </c>
      <c r="E523" s="65" t="s">
        <v>132</v>
      </c>
      <c r="F523" s="66">
        <v>32</v>
      </c>
      <c r="G523" s="63"/>
      <c r="H523" s="67"/>
      <c r="I523" s="68"/>
      <c r="J523" s="68"/>
      <c r="K523" s="31" t="s">
        <v>65</v>
      </c>
      <c r="L523" s="76">
        <v>523</v>
      </c>
      <c r="M523" s="76"/>
      <c r="N523" s="70"/>
      <c r="O523" s="78" t="s">
        <v>305</v>
      </c>
      <c r="P523" s="78" t="s">
        <v>475</v>
      </c>
      <c r="Q523" s="78" t="s">
        <v>950</v>
      </c>
      <c r="R523" s="78" t="s">
        <v>1450</v>
      </c>
      <c r="S523" s="78"/>
      <c r="T523" s="78"/>
      <c r="U523" s="78"/>
      <c r="V523" s="78"/>
      <c r="W523" s="81" t="s">
        <v>1674</v>
      </c>
      <c r="X523" s="81" t="s">
        <v>1674</v>
      </c>
      <c r="Y523" s="78"/>
      <c r="Z523" s="78"/>
      <c r="AA523" s="81" t="s">
        <v>1674</v>
      </c>
      <c r="AB523" s="79">
        <v>1</v>
      </c>
      <c r="AC523" s="80" t="str">
        <f>REPLACE(INDEX(GroupVertices[Group],MATCH("~"&amp;Edges[[#This Row],[Vertex 1]],GroupVertices[Vertex],0)),1,1,"")</f>
        <v>1</v>
      </c>
      <c r="AD523" s="80" t="str">
        <f>REPLACE(INDEX(GroupVertices[Group],MATCH("~"&amp;Edges[[#This Row],[Vertex 2]],GroupVertices[Vertex],0)),1,1,"")</f>
        <v>1</v>
      </c>
      <c r="AE523" s="105"/>
      <c r="AF523" s="105"/>
      <c r="AG523" s="105"/>
      <c r="AH523" s="105"/>
      <c r="AI523" s="105"/>
      <c r="AJ523" s="105"/>
      <c r="AK523" s="105"/>
      <c r="AL523" s="105"/>
      <c r="AM523" s="105"/>
    </row>
    <row r="524" spans="1:39" ht="15">
      <c r="A524" s="62" t="s">
        <v>228</v>
      </c>
      <c r="B524" s="62" t="s">
        <v>256</v>
      </c>
      <c r="C524" s="63" t="s">
        <v>3598</v>
      </c>
      <c r="D524" s="64">
        <v>5</v>
      </c>
      <c r="E524" s="65" t="s">
        <v>132</v>
      </c>
      <c r="F524" s="66">
        <v>32</v>
      </c>
      <c r="G524" s="63"/>
      <c r="H524" s="67"/>
      <c r="I524" s="68"/>
      <c r="J524" s="68"/>
      <c r="K524" s="31" t="s">
        <v>65</v>
      </c>
      <c r="L524" s="76">
        <v>524</v>
      </c>
      <c r="M524" s="76"/>
      <c r="N524" s="70"/>
      <c r="O524" s="78" t="s">
        <v>305</v>
      </c>
      <c r="P524" s="78" t="s">
        <v>476</v>
      </c>
      <c r="Q524" s="78" t="s">
        <v>951</v>
      </c>
      <c r="R524" s="78" t="s">
        <v>1451</v>
      </c>
      <c r="S524" s="78"/>
      <c r="T524" s="78"/>
      <c r="U524" s="78"/>
      <c r="V524" s="78"/>
      <c r="W524" s="81" t="s">
        <v>1674</v>
      </c>
      <c r="X524" s="81" t="s">
        <v>1674</v>
      </c>
      <c r="Y524" s="78"/>
      <c r="Z524" s="78"/>
      <c r="AA524" s="81" t="s">
        <v>1674</v>
      </c>
      <c r="AB524" s="79">
        <v>1</v>
      </c>
      <c r="AC524" s="80" t="str">
        <f>REPLACE(INDEX(GroupVertices[Group],MATCH("~"&amp;Edges[[#This Row],[Vertex 1]],GroupVertices[Vertex],0)),1,1,"")</f>
        <v>1</v>
      </c>
      <c r="AD524" s="80" t="str">
        <f>REPLACE(INDEX(GroupVertices[Group],MATCH("~"&amp;Edges[[#This Row],[Vertex 2]],GroupVertices[Vertex],0)),1,1,"")</f>
        <v>1</v>
      </c>
      <c r="AE524" s="105"/>
      <c r="AF524" s="105"/>
      <c r="AG524" s="105"/>
      <c r="AH524" s="105"/>
      <c r="AI524" s="105"/>
      <c r="AJ524" s="105"/>
      <c r="AK524" s="105"/>
      <c r="AL524" s="105"/>
      <c r="AM524" s="105"/>
    </row>
    <row r="525" spans="1:39" ht="15">
      <c r="A525" s="62" t="s">
        <v>228</v>
      </c>
      <c r="B525" s="62" t="s">
        <v>246</v>
      </c>
      <c r="C525" s="63" t="s">
        <v>3598</v>
      </c>
      <c r="D525" s="64">
        <v>5</v>
      </c>
      <c r="E525" s="65" t="s">
        <v>132</v>
      </c>
      <c r="F525" s="66">
        <v>32</v>
      </c>
      <c r="G525" s="63"/>
      <c r="H525" s="67"/>
      <c r="I525" s="68"/>
      <c r="J525" s="68"/>
      <c r="K525" s="31" t="s">
        <v>65</v>
      </c>
      <c r="L525" s="76">
        <v>525</v>
      </c>
      <c r="M525" s="76"/>
      <c r="N525" s="70"/>
      <c r="O525" s="78" t="s">
        <v>305</v>
      </c>
      <c r="P525" s="78" t="s">
        <v>477</v>
      </c>
      <c r="Q525" s="78" t="s">
        <v>952</v>
      </c>
      <c r="R525" s="78" t="s">
        <v>1452</v>
      </c>
      <c r="S525" s="78"/>
      <c r="T525" s="78"/>
      <c r="U525" s="78"/>
      <c r="V525" s="78"/>
      <c r="W525" s="81" t="s">
        <v>1674</v>
      </c>
      <c r="X525" s="81" t="s">
        <v>1674</v>
      </c>
      <c r="Y525" s="78"/>
      <c r="Z525" s="78"/>
      <c r="AA525" s="81" t="s">
        <v>1674</v>
      </c>
      <c r="AB525" s="79">
        <v>1</v>
      </c>
      <c r="AC525" s="80" t="str">
        <f>REPLACE(INDEX(GroupVertices[Group],MATCH("~"&amp;Edges[[#This Row],[Vertex 1]],GroupVertices[Vertex],0)),1,1,"")</f>
        <v>1</v>
      </c>
      <c r="AD525" s="80" t="str">
        <f>REPLACE(INDEX(GroupVertices[Group],MATCH("~"&amp;Edges[[#This Row],[Vertex 2]],GroupVertices[Vertex],0)),1,1,"")</f>
        <v>3</v>
      </c>
      <c r="AE525" s="105"/>
      <c r="AF525" s="105"/>
      <c r="AG525" s="105"/>
      <c r="AH525" s="105"/>
      <c r="AI525" s="105"/>
      <c r="AJ525" s="105"/>
      <c r="AK525" s="105"/>
      <c r="AL525" s="105"/>
      <c r="AM525" s="105"/>
    </row>
    <row r="526" spans="1:39" ht="15">
      <c r="A526" s="62" t="s">
        <v>257</v>
      </c>
      <c r="B526" s="62" t="s">
        <v>228</v>
      </c>
      <c r="C526" s="63" t="s">
        <v>3598</v>
      </c>
      <c r="D526" s="64">
        <v>5</v>
      </c>
      <c r="E526" s="65" t="s">
        <v>132</v>
      </c>
      <c r="F526" s="66">
        <v>32</v>
      </c>
      <c r="G526" s="63"/>
      <c r="H526" s="67"/>
      <c r="I526" s="68"/>
      <c r="J526" s="68"/>
      <c r="K526" s="31" t="s">
        <v>65</v>
      </c>
      <c r="L526" s="76">
        <v>526</v>
      </c>
      <c r="M526" s="76"/>
      <c r="N526" s="70"/>
      <c r="O526" s="78" t="s">
        <v>305</v>
      </c>
      <c r="P526" s="78" t="s">
        <v>443</v>
      </c>
      <c r="Q526" s="78" t="s">
        <v>953</v>
      </c>
      <c r="R526" s="78" t="s">
        <v>947</v>
      </c>
      <c r="S526" s="78"/>
      <c r="T526" s="78"/>
      <c r="U526" s="78"/>
      <c r="V526" s="78"/>
      <c r="W526" s="81" t="s">
        <v>1674</v>
      </c>
      <c r="X526" s="81" t="s">
        <v>1674</v>
      </c>
      <c r="Y526" s="78"/>
      <c r="Z526" s="78"/>
      <c r="AA526" s="81" t="s">
        <v>1674</v>
      </c>
      <c r="AB526" s="79">
        <v>1</v>
      </c>
      <c r="AC526" s="80" t="str">
        <f>REPLACE(INDEX(GroupVertices[Group],MATCH("~"&amp;Edges[[#This Row],[Vertex 1]],GroupVertices[Vertex],0)),1,1,"")</f>
        <v>1</v>
      </c>
      <c r="AD526" s="80" t="str">
        <f>REPLACE(INDEX(GroupVertices[Group],MATCH("~"&amp;Edges[[#This Row],[Vertex 2]],GroupVertices[Vertex],0)),1,1,"")</f>
        <v>1</v>
      </c>
      <c r="AE526" s="105"/>
      <c r="AF526" s="105"/>
      <c r="AG526" s="105"/>
      <c r="AH526" s="105"/>
      <c r="AI526" s="105"/>
      <c r="AJ526" s="105"/>
      <c r="AK526" s="105"/>
      <c r="AL526" s="105"/>
      <c r="AM526" s="105"/>
    </row>
    <row r="527" spans="1:39" ht="15">
      <c r="A527" s="62" t="s">
        <v>259</v>
      </c>
      <c r="B527" s="62" t="s">
        <v>228</v>
      </c>
      <c r="C527" s="63" t="s">
        <v>3598</v>
      </c>
      <c r="D527" s="64">
        <v>5</v>
      </c>
      <c r="E527" s="65" t="s">
        <v>132</v>
      </c>
      <c r="F527" s="66">
        <v>32</v>
      </c>
      <c r="G527" s="63"/>
      <c r="H527" s="67"/>
      <c r="I527" s="68"/>
      <c r="J527" s="68"/>
      <c r="K527" s="31" t="s">
        <v>65</v>
      </c>
      <c r="L527" s="76">
        <v>527</v>
      </c>
      <c r="M527" s="76"/>
      <c r="N527" s="70"/>
      <c r="O527" s="78" t="s">
        <v>305</v>
      </c>
      <c r="P527" s="78" t="s">
        <v>478</v>
      </c>
      <c r="Q527" s="78" t="s">
        <v>954</v>
      </c>
      <c r="R527" s="78" t="s">
        <v>1453</v>
      </c>
      <c r="S527" s="78"/>
      <c r="T527" s="78"/>
      <c r="U527" s="78"/>
      <c r="V527" s="78"/>
      <c r="W527" s="81" t="s">
        <v>1674</v>
      </c>
      <c r="X527" s="81" t="s">
        <v>1674</v>
      </c>
      <c r="Y527" s="78"/>
      <c r="Z527" s="78"/>
      <c r="AA527" s="81" t="s">
        <v>1674</v>
      </c>
      <c r="AB527" s="79">
        <v>1</v>
      </c>
      <c r="AC527" s="80" t="str">
        <f>REPLACE(INDEX(GroupVertices[Group],MATCH("~"&amp;Edges[[#This Row],[Vertex 1]],GroupVertices[Vertex],0)),1,1,"")</f>
        <v>1</v>
      </c>
      <c r="AD527" s="80" t="str">
        <f>REPLACE(INDEX(GroupVertices[Group],MATCH("~"&amp;Edges[[#This Row],[Vertex 2]],GroupVertices[Vertex],0)),1,1,"")</f>
        <v>1</v>
      </c>
      <c r="AE527" s="105"/>
      <c r="AF527" s="105"/>
      <c r="AG527" s="105"/>
      <c r="AH527" s="105"/>
      <c r="AI527" s="105"/>
      <c r="AJ527" s="105"/>
      <c r="AK527" s="105"/>
      <c r="AL527" s="105"/>
      <c r="AM527" s="105"/>
    </row>
    <row r="528" spans="1:39" ht="15">
      <c r="A528" s="62" t="s">
        <v>265</v>
      </c>
      <c r="B528" s="62" t="s">
        <v>228</v>
      </c>
      <c r="C528" s="63" t="s">
        <v>3598</v>
      </c>
      <c r="D528" s="64">
        <v>5</v>
      </c>
      <c r="E528" s="65" t="s">
        <v>132</v>
      </c>
      <c r="F528" s="66">
        <v>32</v>
      </c>
      <c r="G528" s="63"/>
      <c r="H528" s="67"/>
      <c r="I528" s="68"/>
      <c r="J528" s="68"/>
      <c r="K528" s="31" t="s">
        <v>65</v>
      </c>
      <c r="L528" s="76">
        <v>528</v>
      </c>
      <c r="M528" s="76"/>
      <c r="N528" s="70"/>
      <c r="O528" s="78" t="s">
        <v>305</v>
      </c>
      <c r="P528" s="78" t="s">
        <v>479</v>
      </c>
      <c r="Q528" s="78" t="s">
        <v>955</v>
      </c>
      <c r="R528" s="78" t="s">
        <v>955</v>
      </c>
      <c r="S528" s="78"/>
      <c r="T528" s="78"/>
      <c r="U528" s="78"/>
      <c r="V528" s="78"/>
      <c r="W528" s="81" t="s">
        <v>1674</v>
      </c>
      <c r="X528" s="81" t="s">
        <v>1674</v>
      </c>
      <c r="Y528" s="78"/>
      <c r="Z528" s="78"/>
      <c r="AA528" s="81" t="s">
        <v>1674</v>
      </c>
      <c r="AB528" s="79">
        <v>1</v>
      </c>
      <c r="AC528" s="80" t="str">
        <f>REPLACE(INDEX(GroupVertices[Group],MATCH("~"&amp;Edges[[#This Row],[Vertex 1]],GroupVertices[Vertex],0)),1,1,"")</f>
        <v>3</v>
      </c>
      <c r="AD528" s="80" t="str">
        <f>REPLACE(INDEX(GroupVertices[Group],MATCH("~"&amp;Edges[[#This Row],[Vertex 2]],GroupVertices[Vertex],0)),1,1,"")</f>
        <v>1</v>
      </c>
      <c r="AE528" s="105"/>
      <c r="AF528" s="105"/>
      <c r="AG528" s="105"/>
      <c r="AH528" s="105"/>
      <c r="AI528" s="105"/>
      <c r="AJ528" s="105"/>
      <c r="AK528" s="105"/>
      <c r="AL528" s="105"/>
      <c r="AM528" s="105"/>
    </row>
    <row r="529" spans="1:39" ht="15">
      <c r="A529" s="62" t="s">
        <v>235</v>
      </c>
      <c r="B529" s="62" t="s">
        <v>228</v>
      </c>
      <c r="C529" s="63" t="s">
        <v>3598</v>
      </c>
      <c r="D529" s="64">
        <v>5</v>
      </c>
      <c r="E529" s="65" t="s">
        <v>132</v>
      </c>
      <c r="F529" s="66">
        <v>32</v>
      </c>
      <c r="G529" s="63"/>
      <c r="H529" s="67"/>
      <c r="I529" s="68"/>
      <c r="J529" s="68"/>
      <c r="K529" s="31" t="s">
        <v>65</v>
      </c>
      <c r="L529" s="76">
        <v>529</v>
      </c>
      <c r="M529" s="76"/>
      <c r="N529" s="70"/>
      <c r="O529" s="78" t="s">
        <v>305</v>
      </c>
      <c r="P529" s="78" t="s">
        <v>479</v>
      </c>
      <c r="Q529" s="78" t="s">
        <v>956</v>
      </c>
      <c r="R529" s="78" t="s">
        <v>955</v>
      </c>
      <c r="S529" s="78"/>
      <c r="T529" s="78"/>
      <c r="U529" s="78"/>
      <c r="V529" s="78"/>
      <c r="W529" s="81" t="s">
        <v>1674</v>
      </c>
      <c r="X529" s="81" t="s">
        <v>1674</v>
      </c>
      <c r="Y529" s="78"/>
      <c r="Z529" s="78"/>
      <c r="AA529" s="81" t="s">
        <v>1674</v>
      </c>
      <c r="AB529" s="79">
        <v>1</v>
      </c>
      <c r="AC529" s="80" t="str">
        <f>REPLACE(INDEX(GroupVertices[Group],MATCH("~"&amp;Edges[[#This Row],[Vertex 1]],GroupVertices[Vertex],0)),1,1,"")</f>
        <v>1</v>
      </c>
      <c r="AD529" s="80" t="str">
        <f>REPLACE(INDEX(GroupVertices[Group],MATCH("~"&amp;Edges[[#This Row],[Vertex 2]],GroupVertices[Vertex],0)),1,1,"")</f>
        <v>1</v>
      </c>
      <c r="AE529" s="105"/>
      <c r="AF529" s="105"/>
      <c r="AG529" s="105"/>
      <c r="AH529" s="105"/>
      <c r="AI529" s="105"/>
      <c r="AJ529" s="105"/>
      <c r="AK529" s="105"/>
      <c r="AL529" s="105"/>
      <c r="AM529" s="105"/>
    </row>
    <row r="530" spans="1:39" ht="15">
      <c r="A530" s="62" t="s">
        <v>260</v>
      </c>
      <c r="B530" s="62" t="s">
        <v>228</v>
      </c>
      <c r="C530" s="63" t="s">
        <v>3598</v>
      </c>
      <c r="D530" s="64">
        <v>5.2631578947368425</v>
      </c>
      <c r="E530" s="65" t="s">
        <v>136</v>
      </c>
      <c r="F530" s="66">
        <v>31.50943396226415</v>
      </c>
      <c r="G530" s="63"/>
      <c r="H530" s="67"/>
      <c r="I530" s="68"/>
      <c r="J530" s="68"/>
      <c r="K530" s="31" t="s">
        <v>65</v>
      </c>
      <c r="L530" s="76">
        <v>530</v>
      </c>
      <c r="M530" s="76"/>
      <c r="N530" s="70"/>
      <c r="O530" s="78" t="s">
        <v>305</v>
      </c>
      <c r="P530" s="78" t="s">
        <v>480</v>
      </c>
      <c r="Q530" s="78" t="s">
        <v>957</v>
      </c>
      <c r="R530" s="78" t="s">
        <v>1454</v>
      </c>
      <c r="S530" s="78"/>
      <c r="T530" s="78"/>
      <c r="U530" s="78"/>
      <c r="V530" s="78"/>
      <c r="W530" s="81" t="s">
        <v>1674</v>
      </c>
      <c r="X530" s="81" t="s">
        <v>1674</v>
      </c>
      <c r="Y530" s="78"/>
      <c r="Z530" s="78"/>
      <c r="AA530" s="81" t="s">
        <v>1674</v>
      </c>
      <c r="AB530" s="79">
        <v>2</v>
      </c>
      <c r="AC530" s="80" t="str">
        <f>REPLACE(INDEX(GroupVertices[Group],MATCH("~"&amp;Edges[[#This Row],[Vertex 1]],GroupVertices[Vertex],0)),1,1,"")</f>
        <v>1</v>
      </c>
      <c r="AD530" s="80" t="str">
        <f>REPLACE(INDEX(GroupVertices[Group],MATCH("~"&amp;Edges[[#This Row],[Vertex 2]],GroupVertices[Vertex],0)),1,1,"")</f>
        <v>1</v>
      </c>
      <c r="AE530" s="105"/>
      <c r="AF530" s="105"/>
      <c r="AG530" s="105"/>
      <c r="AH530" s="105"/>
      <c r="AI530" s="105"/>
      <c r="AJ530" s="105"/>
      <c r="AK530" s="105"/>
      <c r="AL530" s="105"/>
      <c r="AM530" s="105"/>
    </row>
    <row r="531" spans="1:39" ht="15">
      <c r="A531" s="62" t="s">
        <v>260</v>
      </c>
      <c r="B531" s="62" t="s">
        <v>228</v>
      </c>
      <c r="C531" s="63" t="s">
        <v>3598</v>
      </c>
      <c r="D531" s="64">
        <v>5.2631578947368425</v>
      </c>
      <c r="E531" s="65" t="s">
        <v>136</v>
      </c>
      <c r="F531" s="66">
        <v>31.50943396226415</v>
      </c>
      <c r="G531" s="63"/>
      <c r="H531" s="67"/>
      <c r="I531" s="68"/>
      <c r="J531" s="68"/>
      <c r="K531" s="31" t="s">
        <v>65</v>
      </c>
      <c r="L531" s="76">
        <v>531</v>
      </c>
      <c r="M531" s="76"/>
      <c r="N531" s="70"/>
      <c r="O531" s="78" t="s">
        <v>305</v>
      </c>
      <c r="P531" s="78" t="s">
        <v>480</v>
      </c>
      <c r="Q531" s="78" t="s">
        <v>958</v>
      </c>
      <c r="R531" s="78" t="s">
        <v>1454</v>
      </c>
      <c r="S531" s="78"/>
      <c r="T531" s="78"/>
      <c r="U531" s="78"/>
      <c r="V531" s="78"/>
      <c r="W531" s="81" t="s">
        <v>1674</v>
      </c>
      <c r="X531" s="81" t="s">
        <v>1674</v>
      </c>
      <c r="Y531" s="78"/>
      <c r="Z531" s="78"/>
      <c r="AA531" s="81" t="s">
        <v>1674</v>
      </c>
      <c r="AB531" s="79">
        <v>2</v>
      </c>
      <c r="AC531" s="80" t="str">
        <f>REPLACE(INDEX(GroupVertices[Group],MATCH("~"&amp;Edges[[#This Row],[Vertex 1]],GroupVertices[Vertex],0)),1,1,"")</f>
        <v>1</v>
      </c>
      <c r="AD531" s="80" t="str">
        <f>REPLACE(INDEX(GroupVertices[Group],MATCH("~"&amp;Edges[[#This Row],[Vertex 2]],GroupVertices[Vertex],0)),1,1,"")</f>
        <v>1</v>
      </c>
      <c r="AE531" s="105"/>
      <c r="AF531" s="105"/>
      <c r="AG531" s="105"/>
      <c r="AH531" s="105"/>
      <c r="AI531" s="105"/>
      <c r="AJ531" s="105"/>
      <c r="AK531" s="105"/>
      <c r="AL531" s="105"/>
      <c r="AM531" s="105"/>
    </row>
    <row r="532" spans="1:39" ht="15">
      <c r="A532" s="62" t="s">
        <v>267</v>
      </c>
      <c r="B532" s="62" t="s">
        <v>228</v>
      </c>
      <c r="C532" s="63" t="s">
        <v>3598</v>
      </c>
      <c r="D532" s="64">
        <v>5.2631578947368425</v>
      </c>
      <c r="E532" s="65" t="s">
        <v>136</v>
      </c>
      <c r="F532" s="66">
        <v>31.50943396226415</v>
      </c>
      <c r="G532" s="63"/>
      <c r="H532" s="67"/>
      <c r="I532" s="68"/>
      <c r="J532" s="68"/>
      <c r="K532" s="31" t="s">
        <v>65</v>
      </c>
      <c r="L532" s="76">
        <v>532</v>
      </c>
      <c r="M532" s="76"/>
      <c r="N532" s="70"/>
      <c r="O532" s="78" t="s">
        <v>305</v>
      </c>
      <c r="P532" s="78" t="s">
        <v>481</v>
      </c>
      <c r="Q532" s="78" t="s">
        <v>959</v>
      </c>
      <c r="R532" s="78" t="s">
        <v>1455</v>
      </c>
      <c r="S532" s="78"/>
      <c r="T532" s="78"/>
      <c r="U532" s="78"/>
      <c r="V532" s="78"/>
      <c r="W532" s="81" t="s">
        <v>1674</v>
      </c>
      <c r="X532" s="81" t="s">
        <v>1674</v>
      </c>
      <c r="Y532" s="78"/>
      <c r="Z532" s="78"/>
      <c r="AA532" s="81" t="s">
        <v>1674</v>
      </c>
      <c r="AB532" s="79">
        <v>2</v>
      </c>
      <c r="AC532" s="80" t="str">
        <f>REPLACE(INDEX(GroupVertices[Group],MATCH("~"&amp;Edges[[#This Row],[Vertex 1]],GroupVertices[Vertex],0)),1,1,"")</f>
        <v>1</v>
      </c>
      <c r="AD532" s="80" t="str">
        <f>REPLACE(INDEX(GroupVertices[Group],MATCH("~"&amp;Edges[[#This Row],[Vertex 2]],GroupVertices[Vertex],0)),1,1,"")</f>
        <v>1</v>
      </c>
      <c r="AE532" s="105"/>
      <c r="AF532" s="105"/>
      <c r="AG532" s="105"/>
      <c r="AH532" s="105"/>
      <c r="AI532" s="105"/>
      <c r="AJ532" s="105"/>
      <c r="AK532" s="105"/>
      <c r="AL532" s="105"/>
      <c r="AM532" s="105"/>
    </row>
    <row r="533" spans="1:39" ht="15">
      <c r="A533" s="62" t="s">
        <v>267</v>
      </c>
      <c r="B533" s="62" t="s">
        <v>228</v>
      </c>
      <c r="C533" s="63" t="s">
        <v>3598</v>
      </c>
      <c r="D533" s="64">
        <v>5.2631578947368425</v>
      </c>
      <c r="E533" s="65" t="s">
        <v>136</v>
      </c>
      <c r="F533" s="66">
        <v>31.50943396226415</v>
      </c>
      <c r="G533" s="63"/>
      <c r="H533" s="67"/>
      <c r="I533" s="68"/>
      <c r="J533" s="68"/>
      <c r="K533" s="31" t="s">
        <v>65</v>
      </c>
      <c r="L533" s="76">
        <v>533</v>
      </c>
      <c r="M533" s="76"/>
      <c r="N533" s="70"/>
      <c r="O533" s="78" t="s">
        <v>305</v>
      </c>
      <c r="P533" s="78" t="s">
        <v>479</v>
      </c>
      <c r="Q533" s="78" t="s">
        <v>955</v>
      </c>
      <c r="R533" s="78" t="s">
        <v>955</v>
      </c>
      <c r="S533" s="78"/>
      <c r="T533" s="78"/>
      <c r="U533" s="78"/>
      <c r="V533" s="78"/>
      <c r="W533" s="81" t="s">
        <v>1674</v>
      </c>
      <c r="X533" s="81" t="s">
        <v>1674</v>
      </c>
      <c r="Y533" s="78"/>
      <c r="Z533" s="78"/>
      <c r="AA533" s="81" t="s">
        <v>1674</v>
      </c>
      <c r="AB533" s="79">
        <v>2</v>
      </c>
      <c r="AC533" s="80" t="str">
        <f>REPLACE(INDEX(GroupVertices[Group],MATCH("~"&amp;Edges[[#This Row],[Vertex 1]],GroupVertices[Vertex],0)),1,1,"")</f>
        <v>1</v>
      </c>
      <c r="AD533" s="80" t="str">
        <f>REPLACE(INDEX(GroupVertices[Group],MATCH("~"&amp;Edges[[#This Row],[Vertex 2]],GroupVertices[Vertex],0)),1,1,"")</f>
        <v>1</v>
      </c>
      <c r="AE533" s="105"/>
      <c r="AF533" s="105"/>
      <c r="AG533" s="105"/>
      <c r="AH533" s="105"/>
      <c r="AI533" s="105"/>
      <c r="AJ533" s="105"/>
      <c r="AK533" s="105"/>
      <c r="AL533" s="105"/>
      <c r="AM533" s="105"/>
    </row>
    <row r="534" spans="1:39" ht="15">
      <c r="A534" s="62" t="s">
        <v>273</v>
      </c>
      <c r="B534" s="62" t="s">
        <v>228</v>
      </c>
      <c r="C534" s="63" t="s">
        <v>3602</v>
      </c>
      <c r="D534" s="64">
        <v>5.526315789473684</v>
      </c>
      <c r="E534" s="65" t="s">
        <v>136</v>
      </c>
      <c r="F534" s="66">
        <v>31.0188679245283</v>
      </c>
      <c r="G534" s="63"/>
      <c r="H534" s="67"/>
      <c r="I534" s="68"/>
      <c r="J534" s="68"/>
      <c r="K534" s="31" t="s">
        <v>65</v>
      </c>
      <c r="L534" s="76">
        <v>534</v>
      </c>
      <c r="M534" s="76"/>
      <c r="N534" s="70"/>
      <c r="O534" s="78" t="s">
        <v>305</v>
      </c>
      <c r="P534" s="78" t="s">
        <v>472</v>
      </c>
      <c r="Q534" s="78" t="s">
        <v>960</v>
      </c>
      <c r="R534" s="78" t="s">
        <v>945</v>
      </c>
      <c r="S534" s="78"/>
      <c r="T534" s="78"/>
      <c r="U534" s="78"/>
      <c r="V534" s="78"/>
      <c r="W534" s="81" t="s">
        <v>1674</v>
      </c>
      <c r="X534" s="81" t="s">
        <v>1674</v>
      </c>
      <c r="Y534" s="78"/>
      <c r="Z534" s="78"/>
      <c r="AA534" s="81" t="s">
        <v>1674</v>
      </c>
      <c r="AB534" s="79">
        <v>3</v>
      </c>
      <c r="AC534" s="80" t="str">
        <f>REPLACE(INDEX(GroupVertices[Group],MATCH("~"&amp;Edges[[#This Row],[Vertex 1]],GroupVertices[Vertex],0)),1,1,"")</f>
        <v>6</v>
      </c>
      <c r="AD534" s="80" t="str">
        <f>REPLACE(INDEX(GroupVertices[Group],MATCH("~"&amp;Edges[[#This Row],[Vertex 2]],GroupVertices[Vertex],0)),1,1,"")</f>
        <v>1</v>
      </c>
      <c r="AE534" s="105"/>
      <c r="AF534" s="105"/>
      <c r="AG534" s="105"/>
      <c r="AH534" s="105"/>
      <c r="AI534" s="105"/>
      <c r="AJ534" s="105"/>
      <c r="AK534" s="105"/>
      <c r="AL534" s="105"/>
      <c r="AM534" s="105"/>
    </row>
    <row r="535" spans="1:39" ht="15">
      <c r="A535" s="62" t="s">
        <v>273</v>
      </c>
      <c r="B535" s="62" t="s">
        <v>228</v>
      </c>
      <c r="C535" s="63" t="s">
        <v>3602</v>
      </c>
      <c r="D535" s="64">
        <v>5.526315789473684</v>
      </c>
      <c r="E535" s="65" t="s">
        <v>136</v>
      </c>
      <c r="F535" s="66">
        <v>31.0188679245283</v>
      </c>
      <c r="G535" s="63"/>
      <c r="H535" s="67"/>
      <c r="I535" s="68"/>
      <c r="J535" s="68"/>
      <c r="K535" s="31" t="s">
        <v>65</v>
      </c>
      <c r="L535" s="76">
        <v>535</v>
      </c>
      <c r="M535" s="76"/>
      <c r="N535" s="70"/>
      <c r="O535" s="78" t="s">
        <v>305</v>
      </c>
      <c r="P535" s="78" t="s">
        <v>472</v>
      </c>
      <c r="Q535" s="78" t="s">
        <v>960</v>
      </c>
      <c r="R535" s="78" t="s">
        <v>946</v>
      </c>
      <c r="S535" s="78"/>
      <c r="T535" s="78"/>
      <c r="U535" s="78"/>
      <c r="V535" s="78"/>
      <c r="W535" s="81" t="s">
        <v>1674</v>
      </c>
      <c r="X535" s="81" t="s">
        <v>1674</v>
      </c>
      <c r="Y535" s="78"/>
      <c r="Z535" s="78"/>
      <c r="AA535" s="81" t="s">
        <v>1674</v>
      </c>
      <c r="AB535" s="79">
        <v>3</v>
      </c>
      <c r="AC535" s="80" t="str">
        <f>REPLACE(INDEX(GroupVertices[Group],MATCH("~"&amp;Edges[[#This Row],[Vertex 1]],GroupVertices[Vertex],0)),1,1,"")</f>
        <v>6</v>
      </c>
      <c r="AD535" s="80" t="str">
        <f>REPLACE(INDEX(GroupVertices[Group],MATCH("~"&amp;Edges[[#This Row],[Vertex 2]],GroupVertices[Vertex],0)),1,1,"")</f>
        <v>1</v>
      </c>
      <c r="AE535" s="105"/>
      <c r="AF535" s="105"/>
      <c r="AG535" s="105"/>
      <c r="AH535" s="105"/>
      <c r="AI535" s="105"/>
      <c r="AJ535" s="105"/>
      <c r="AK535" s="105"/>
      <c r="AL535" s="105"/>
      <c r="AM535" s="105"/>
    </row>
    <row r="536" spans="1:39" ht="15">
      <c r="A536" s="62" t="s">
        <v>273</v>
      </c>
      <c r="B536" s="62" t="s">
        <v>228</v>
      </c>
      <c r="C536" s="63" t="s">
        <v>3602</v>
      </c>
      <c r="D536" s="64">
        <v>5.526315789473684</v>
      </c>
      <c r="E536" s="65" t="s">
        <v>136</v>
      </c>
      <c r="F536" s="66">
        <v>31.0188679245283</v>
      </c>
      <c r="G536" s="63"/>
      <c r="H536" s="67"/>
      <c r="I536" s="68"/>
      <c r="J536" s="68"/>
      <c r="K536" s="31" t="s">
        <v>65</v>
      </c>
      <c r="L536" s="76">
        <v>536</v>
      </c>
      <c r="M536" s="76"/>
      <c r="N536" s="70"/>
      <c r="O536" s="78" t="s">
        <v>305</v>
      </c>
      <c r="P536" s="78" t="s">
        <v>474</v>
      </c>
      <c r="Q536" s="78" t="s">
        <v>961</v>
      </c>
      <c r="R536" s="78" t="s">
        <v>949</v>
      </c>
      <c r="S536" s="78"/>
      <c r="T536" s="78"/>
      <c r="U536" s="78"/>
      <c r="V536" s="78"/>
      <c r="W536" s="81" t="s">
        <v>1674</v>
      </c>
      <c r="X536" s="81" t="s">
        <v>1674</v>
      </c>
      <c r="Y536" s="78"/>
      <c r="Z536" s="78"/>
      <c r="AA536" s="81" t="s">
        <v>1674</v>
      </c>
      <c r="AB536" s="79">
        <v>3</v>
      </c>
      <c r="AC536" s="80" t="str">
        <f>REPLACE(INDEX(GroupVertices[Group],MATCH("~"&amp;Edges[[#This Row],[Vertex 1]],GroupVertices[Vertex],0)),1,1,"")</f>
        <v>6</v>
      </c>
      <c r="AD536" s="80" t="str">
        <f>REPLACE(INDEX(GroupVertices[Group],MATCH("~"&amp;Edges[[#This Row],[Vertex 2]],GroupVertices[Vertex],0)),1,1,"")</f>
        <v>1</v>
      </c>
      <c r="AE536" s="105"/>
      <c r="AF536" s="105"/>
      <c r="AG536" s="105"/>
      <c r="AH536" s="105"/>
      <c r="AI536" s="105"/>
      <c r="AJ536" s="105"/>
      <c r="AK536" s="105"/>
      <c r="AL536" s="105"/>
      <c r="AM536" s="105"/>
    </row>
    <row r="537" spans="1:39" ht="15">
      <c r="A537" s="62" t="s">
        <v>277</v>
      </c>
      <c r="B537" s="62" t="s">
        <v>228</v>
      </c>
      <c r="C537" s="63" t="s">
        <v>3602</v>
      </c>
      <c r="D537" s="64">
        <v>5.526315789473684</v>
      </c>
      <c r="E537" s="65" t="s">
        <v>136</v>
      </c>
      <c r="F537" s="66">
        <v>31.0188679245283</v>
      </c>
      <c r="G537" s="63"/>
      <c r="H537" s="67"/>
      <c r="I537" s="68"/>
      <c r="J537" s="68"/>
      <c r="K537" s="31" t="s">
        <v>65</v>
      </c>
      <c r="L537" s="76">
        <v>537</v>
      </c>
      <c r="M537" s="76"/>
      <c r="N537" s="70"/>
      <c r="O537" s="78" t="s">
        <v>305</v>
      </c>
      <c r="P537" s="78" t="s">
        <v>443</v>
      </c>
      <c r="Q537" s="78" t="s">
        <v>896</v>
      </c>
      <c r="R537" s="78" t="s">
        <v>947</v>
      </c>
      <c r="S537" s="78"/>
      <c r="T537" s="78"/>
      <c r="U537" s="78"/>
      <c r="V537" s="78"/>
      <c r="W537" s="81" t="s">
        <v>1674</v>
      </c>
      <c r="X537" s="81" t="s">
        <v>1674</v>
      </c>
      <c r="Y537" s="78"/>
      <c r="Z537" s="78"/>
      <c r="AA537" s="81" t="s">
        <v>1674</v>
      </c>
      <c r="AB537" s="79">
        <v>3</v>
      </c>
      <c r="AC537" s="80" t="str">
        <f>REPLACE(INDEX(GroupVertices[Group],MATCH("~"&amp;Edges[[#This Row],[Vertex 1]],GroupVertices[Vertex],0)),1,1,"")</f>
        <v>1</v>
      </c>
      <c r="AD537" s="80" t="str">
        <f>REPLACE(INDEX(GroupVertices[Group],MATCH("~"&amp;Edges[[#This Row],[Vertex 2]],GroupVertices[Vertex],0)),1,1,"")</f>
        <v>1</v>
      </c>
      <c r="AE537" s="105"/>
      <c r="AF537" s="105"/>
      <c r="AG537" s="105"/>
      <c r="AH537" s="105"/>
      <c r="AI537" s="105"/>
      <c r="AJ537" s="105"/>
      <c r="AK537" s="105"/>
      <c r="AL537" s="105"/>
      <c r="AM537" s="105"/>
    </row>
    <row r="538" spans="1:39" ht="15">
      <c r="A538" s="62" t="s">
        <v>277</v>
      </c>
      <c r="B538" s="62" t="s">
        <v>228</v>
      </c>
      <c r="C538" s="63" t="s">
        <v>3602</v>
      </c>
      <c r="D538" s="64">
        <v>5.526315789473684</v>
      </c>
      <c r="E538" s="65" t="s">
        <v>136</v>
      </c>
      <c r="F538" s="66">
        <v>31.0188679245283</v>
      </c>
      <c r="G538" s="63"/>
      <c r="H538" s="67"/>
      <c r="I538" s="68"/>
      <c r="J538" s="68"/>
      <c r="K538" s="31" t="s">
        <v>65</v>
      </c>
      <c r="L538" s="76">
        <v>538</v>
      </c>
      <c r="M538" s="76"/>
      <c r="N538" s="70"/>
      <c r="O538" s="78" t="s">
        <v>305</v>
      </c>
      <c r="P538" s="78" t="s">
        <v>482</v>
      </c>
      <c r="Q538" s="78" t="s">
        <v>962</v>
      </c>
      <c r="R538" s="78" t="s">
        <v>1456</v>
      </c>
      <c r="S538" s="78"/>
      <c r="T538" s="78"/>
      <c r="U538" s="78"/>
      <c r="V538" s="78"/>
      <c r="W538" s="81" t="s">
        <v>1674</v>
      </c>
      <c r="X538" s="81" t="s">
        <v>1674</v>
      </c>
      <c r="Y538" s="78"/>
      <c r="Z538" s="78"/>
      <c r="AA538" s="81" t="s">
        <v>1674</v>
      </c>
      <c r="AB538" s="79">
        <v>3</v>
      </c>
      <c r="AC538" s="80" t="str">
        <f>REPLACE(INDEX(GroupVertices[Group],MATCH("~"&amp;Edges[[#This Row],[Vertex 1]],GroupVertices[Vertex],0)),1,1,"")</f>
        <v>1</v>
      </c>
      <c r="AD538" s="80" t="str">
        <f>REPLACE(INDEX(GroupVertices[Group],MATCH("~"&amp;Edges[[#This Row],[Vertex 2]],GroupVertices[Vertex],0)),1,1,"")</f>
        <v>1</v>
      </c>
      <c r="AE538" s="105"/>
      <c r="AF538" s="105"/>
      <c r="AG538" s="105"/>
      <c r="AH538" s="105"/>
      <c r="AI538" s="105"/>
      <c r="AJ538" s="105"/>
      <c r="AK538" s="105"/>
      <c r="AL538" s="105"/>
      <c r="AM538" s="105"/>
    </row>
    <row r="539" spans="1:39" ht="15">
      <c r="A539" s="62" t="s">
        <v>277</v>
      </c>
      <c r="B539" s="62" t="s">
        <v>228</v>
      </c>
      <c r="C539" s="63" t="s">
        <v>3602</v>
      </c>
      <c r="D539" s="64">
        <v>5.526315789473684</v>
      </c>
      <c r="E539" s="65" t="s">
        <v>136</v>
      </c>
      <c r="F539" s="66">
        <v>31.0188679245283</v>
      </c>
      <c r="G539" s="63"/>
      <c r="H539" s="67"/>
      <c r="I539" s="68"/>
      <c r="J539" s="68"/>
      <c r="K539" s="31" t="s">
        <v>65</v>
      </c>
      <c r="L539" s="76">
        <v>539</v>
      </c>
      <c r="M539" s="76"/>
      <c r="N539" s="70"/>
      <c r="O539" s="78" t="s">
        <v>305</v>
      </c>
      <c r="P539" s="78" t="s">
        <v>479</v>
      </c>
      <c r="Q539" s="78" t="s">
        <v>956</v>
      </c>
      <c r="R539" s="78" t="s">
        <v>955</v>
      </c>
      <c r="S539" s="78"/>
      <c r="T539" s="78"/>
      <c r="U539" s="78"/>
      <c r="V539" s="78"/>
      <c r="W539" s="81" t="s">
        <v>1674</v>
      </c>
      <c r="X539" s="81" t="s">
        <v>1674</v>
      </c>
      <c r="Y539" s="78"/>
      <c r="Z539" s="78"/>
      <c r="AA539" s="81" t="s">
        <v>1674</v>
      </c>
      <c r="AB539" s="79">
        <v>3</v>
      </c>
      <c r="AC539" s="80" t="str">
        <f>REPLACE(INDEX(GroupVertices[Group],MATCH("~"&amp;Edges[[#This Row],[Vertex 1]],GroupVertices[Vertex],0)),1,1,"")</f>
        <v>1</v>
      </c>
      <c r="AD539" s="80" t="str">
        <f>REPLACE(INDEX(GroupVertices[Group],MATCH("~"&amp;Edges[[#This Row],[Vertex 2]],GroupVertices[Vertex],0)),1,1,"")</f>
        <v>1</v>
      </c>
      <c r="AE539" s="105"/>
      <c r="AF539" s="105"/>
      <c r="AG539" s="105"/>
      <c r="AH539" s="105"/>
      <c r="AI539" s="105"/>
      <c r="AJ539" s="105"/>
      <c r="AK539" s="105"/>
      <c r="AL539" s="105"/>
      <c r="AM539" s="105"/>
    </row>
    <row r="540" spans="1:39" ht="15">
      <c r="A540" s="62" t="s">
        <v>279</v>
      </c>
      <c r="B540" s="62" t="s">
        <v>228</v>
      </c>
      <c r="C540" s="63" t="s">
        <v>3598</v>
      </c>
      <c r="D540" s="64">
        <v>5</v>
      </c>
      <c r="E540" s="65" t="s">
        <v>132</v>
      </c>
      <c r="F540" s="66">
        <v>32</v>
      </c>
      <c r="G540" s="63"/>
      <c r="H540" s="67"/>
      <c r="I540" s="68"/>
      <c r="J540" s="68"/>
      <c r="K540" s="31" t="s">
        <v>65</v>
      </c>
      <c r="L540" s="76">
        <v>540</v>
      </c>
      <c r="M540" s="76"/>
      <c r="N540" s="70"/>
      <c r="O540" s="78" t="s">
        <v>305</v>
      </c>
      <c r="P540" s="78" t="s">
        <v>479</v>
      </c>
      <c r="Q540" s="78" t="s">
        <v>955</v>
      </c>
      <c r="R540" s="78" t="s">
        <v>955</v>
      </c>
      <c r="S540" s="78"/>
      <c r="T540" s="78"/>
      <c r="U540" s="78"/>
      <c r="V540" s="78"/>
      <c r="W540" s="81" t="s">
        <v>1674</v>
      </c>
      <c r="X540" s="81" t="s">
        <v>1674</v>
      </c>
      <c r="Y540" s="78"/>
      <c r="Z540" s="78"/>
      <c r="AA540" s="81" t="s">
        <v>1674</v>
      </c>
      <c r="AB540" s="79">
        <v>1</v>
      </c>
      <c r="AC540" s="80" t="str">
        <f>REPLACE(INDEX(GroupVertices[Group],MATCH("~"&amp;Edges[[#This Row],[Vertex 1]],GroupVertices[Vertex],0)),1,1,"")</f>
        <v>3</v>
      </c>
      <c r="AD540" s="80" t="str">
        <f>REPLACE(INDEX(GroupVertices[Group],MATCH("~"&amp;Edges[[#This Row],[Vertex 2]],GroupVertices[Vertex],0)),1,1,"")</f>
        <v>1</v>
      </c>
      <c r="AE540" s="105"/>
      <c r="AF540" s="105"/>
      <c r="AG540" s="105"/>
      <c r="AH540" s="105"/>
      <c r="AI540" s="105"/>
      <c r="AJ540" s="105"/>
      <c r="AK540" s="105"/>
      <c r="AL540" s="105"/>
      <c r="AM540" s="105"/>
    </row>
    <row r="541" spans="1:39" ht="15">
      <c r="A541" s="62" t="s">
        <v>280</v>
      </c>
      <c r="B541" s="62" t="s">
        <v>228</v>
      </c>
      <c r="C541" s="63" t="s">
        <v>3598</v>
      </c>
      <c r="D541" s="64">
        <v>5</v>
      </c>
      <c r="E541" s="65" t="s">
        <v>132</v>
      </c>
      <c r="F541" s="66">
        <v>32</v>
      </c>
      <c r="G541" s="63"/>
      <c r="H541" s="67"/>
      <c r="I541" s="68"/>
      <c r="J541" s="68"/>
      <c r="K541" s="31" t="s">
        <v>65</v>
      </c>
      <c r="L541" s="76">
        <v>541</v>
      </c>
      <c r="M541" s="76"/>
      <c r="N541" s="70"/>
      <c r="O541" s="78" t="s">
        <v>305</v>
      </c>
      <c r="P541" s="78" t="s">
        <v>479</v>
      </c>
      <c r="Q541" s="78" t="s">
        <v>956</v>
      </c>
      <c r="R541" s="78" t="s">
        <v>955</v>
      </c>
      <c r="S541" s="78"/>
      <c r="T541" s="78"/>
      <c r="U541" s="78"/>
      <c r="V541" s="78"/>
      <c r="W541" s="81" t="s">
        <v>1674</v>
      </c>
      <c r="X541" s="81" t="s">
        <v>1674</v>
      </c>
      <c r="Y541" s="78"/>
      <c r="Z541" s="78"/>
      <c r="AA541" s="81" t="s">
        <v>1674</v>
      </c>
      <c r="AB541" s="79">
        <v>1</v>
      </c>
      <c r="AC541" s="80" t="str">
        <f>REPLACE(INDEX(GroupVertices[Group],MATCH("~"&amp;Edges[[#This Row],[Vertex 1]],GroupVertices[Vertex],0)),1,1,"")</f>
        <v>3</v>
      </c>
      <c r="AD541" s="80" t="str">
        <f>REPLACE(INDEX(GroupVertices[Group],MATCH("~"&amp;Edges[[#This Row],[Vertex 2]],GroupVertices[Vertex],0)),1,1,"")</f>
        <v>1</v>
      </c>
      <c r="AE541" s="105"/>
      <c r="AF541" s="105"/>
      <c r="AG541" s="105"/>
      <c r="AH541" s="105"/>
      <c r="AI541" s="105"/>
      <c r="AJ541" s="105"/>
      <c r="AK541" s="105"/>
      <c r="AL541" s="105"/>
      <c r="AM541" s="105"/>
    </row>
    <row r="542" spans="1:39" ht="15">
      <c r="A542" s="62" t="s">
        <v>281</v>
      </c>
      <c r="B542" s="62" t="s">
        <v>303</v>
      </c>
      <c r="C542" s="63" t="s">
        <v>3598</v>
      </c>
      <c r="D542" s="64">
        <v>5</v>
      </c>
      <c r="E542" s="65" t="s">
        <v>132</v>
      </c>
      <c r="F542" s="66">
        <v>32</v>
      </c>
      <c r="G542" s="63"/>
      <c r="H542" s="67"/>
      <c r="I542" s="68"/>
      <c r="J542" s="68"/>
      <c r="K542" s="31" t="s">
        <v>65</v>
      </c>
      <c r="L542" s="76">
        <v>542</v>
      </c>
      <c r="M542" s="76"/>
      <c r="N542" s="70"/>
      <c r="O542" s="78" t="s">
        <v>305</v>
      </c>
      <c r="P542" s="78" t="s">
        <v>483</v>
      </c>
      <c r="Q542" s="78" t="s">
        <v>963</v>
      </c>
      <c r="R542" s="78" t="s">
        <v>1457</v>
      </c>
      <c r="S542" s="78"/>
      <c r="T542" s="78"/>
      <c r="U542" s="78"/>
      <c r="V542" s="78"/>
      <c r="W542" s="81" t="s">
        <v>1674</v>
      </c>
      <c r="X542" s="81" t="s">
        <v>1674</v>
      </c>
      <c r="Y542" s="78"/>
      <c r="Z542" s="78"/>
      <c r="AA542" s="81" t="s">
        <v>1674</v>
      </c>
      <c r="AB542" s="79">
        <v>1</v>
      </c>
      <c r="AC542" s="80" t="str">
        <f>REPLACE(INDEX(GroupVertices[Group],MATCH("~"&amp;Edges[[#This Row],[Vertex 1]],GroupVertices[Vertex],0)),1,1,"")</f>
        <v>3</v>
      </c>
      <c r="AD542" s="80" t="str">
        <f>REPLACE(INDEX(GroupVertices[Group],MATCH("~"&amp;Edges[[#This Row],[Vertex 2]],GroupVertices[Vertex],0)),1,1,"")</f>
        <v>3</v>
      </c>
      <c r="AE542" s="105"/>
      <c r="AF542" s="105"/>
      <c r="AG542" s="105"/>
      <c r="AH542" s="105"/>
      <c r="AI542" s="105"/>
      <c r="AJ542" s="105"/>
      <c r="AK542" s="105"/>
      <c r="AL542" s="105"/>
      <c r="AM542" s="105"/>
    </row>
    <row r="543" spans="1:39" ht="15">
      <c r="A543" s="62" t="s">
        <v>263</v>
      </c>
      <c r="B543" s="62" t="s">
        <v>281</v>
      </c>
      <c r="C543" s="63" t="s">
        <v>3598</v>
      </c>
      <c r="D543" s="64">
        <v>5.2631578947368425</v>
      </c>
      <c r="E543" s="65" t="s">
        <v>136</v>
      </c>
      <c r="F543" s="66">
        <v>31.50943396226415</v>
      </c>
      <c r="G543" s="63"/>
      <c r="H543" s="67"/>
      <c r="I543" s="68"/>
      <c r="J543" s="68"/>
      <c r="K543" s="31" t="s">
        <v>65</v>
      </c>
      <c r="L543" s="76">
        <v>543</v>
      </c>
      <c r="M543" s="76"/>
      <c r="N543" s="70"/>
      <c r="O543" s="78" t="s">
        <v>305</v>
      </c>
      <c r="P543" s="78" t="s">
        <v>483</v>
      </c>
      <c r="Q543" s="78" t="s">
        <v>964</v>
      </c>
      <c r="R543" s="78" t="s">
        <v>963</v>
      </c>
      <c r="S543" s="78"/>
      <c r="T543" s="78"/>
      <c r="U543" s="78"/>
      <c r="V543" s="78"/>
      <c r="W543" s="81" t="s">
        <v>1674</v>
      </c>
      <c r="X543" s="81" t="s">
        <v>1674</v>
      </c>
      <c r="Y543" s="78"/>
      <c r="Z543" s="78"/>
      <c r="AA543" s="81" t="s">
        <v>1674</v>
      </c>
      <c r="AB543" s="79">
        <v>2</v>
      </c>
      <c r="AC543" s="80" t="str">
        <f>REPLACE(INDEX(GroupVertices[Group],MATCH("~"&amp;Edges[[#This Row],[Vertex 1]],GroupVertices[Vertex],0)),1,1,"")</f>
        <v>3</v>
      </c>
      <c r="AD543" s="80" t="str">
        <f>REPLACE(INDEX(GroupVertices[Group],MATCH("~"&amp;Edges[[#This Row],[Vertex 2]],GroupVertices[Vertex],0)),1,1,"")</f>
        <v>3</v>
      </c>
      <c r="AE543" s="105"/>
      <c r="AF543" s="105"/>
      <c r="AG543" s="105"/>
      <c r="AH543" s="105"/>
      <c r="AI543" s="105"/>
      <c r="AJ543" s="105"/>
      <c r="AK543" s="105"/>
      <c r="AL543" s="105"/>
      <c r="AM543" s="105"/>
    </row>
    <row r="544" spans="1:39" ht="15">
      <c r="A544" s="62" t="s">
        <v>263</v>
      </c>
      <c r="B544" s="62" t="s">
        <v>281</v>
      </c>
      <c r="C544" s="63" t="s">
        <v>3598</v>
      </c>
      <c r="D544" s="64">
        <v>5.2631578947368425</v>
      </c>
      <c r="E544" s="65" t="s">
        <v>136</v>
      </c>
      <c r="F544" s="66">
        <v>31.50943396226415</v>
      </c>
      <c r="G544" s="63"/>
      <c r="H544" s="67"/>
      <c r="I544" s="68"/>
      <c r="J544" s="68"/>
      <c r="K544" s="31" t="s">
        <v>65</v>
      </c>
      <c r="L544" s="76">
        <v>544</v>
      </c>
      <c r="M544" s="76"/>
      <c r="N544" s="70"/>
      <c r="O544" s="78" t="s">
        <v>305</v>
      </c>
      <c r="P544" s="78" t="s">
        <v>483</v>
      </c>
      <c r="Q544" s="78" t="s">
        <v>965</v>
      </c>
      <c r="R544" s="78" t="s">
        <v>963</v>
      </c>
      <c r="S544" s="78"/>
      <c r="T544" s="78"/>
      <c r="U544" s="78"/>
      <c r="V544" s="78"/>
      <c r="W544" s="81" t="s">
        <v>1674</v>
      </c>
      <c r="X544" s="81" t="s">
        <v>1674</v>
      </c>
      <c r="Y544" s="78"/>
      <c r="Z544" s="78"/>
      <c r="AA544" s="81" t="s">
        <v>1674</v>
      </c>
      <c r="AB544" s="79">
        <v>2</v>
      </c>
      <c r="AC544" s="80" t="str">
        <f>REPLACE(INDEX(GroupVertices[Group],MATCH("~"&amp;Edges[[#This Row],[Vertex 1]],GroupVertices[Vertex],0)),1,1,"")</f>
        <v>3</v>
      </c>
      <c r="AD544" s="80" t="str">
        <f>REPLACE(INDEX(GroupVertices[Group],MATCH("~"&amp;Edges[[#This Row],[Vertex 2]],GroupVertices[Vertex],0)),1,1,"")</f>
        <v>3</v>
      </c>
      <c r="AE544" s="105"/>
      <c r="AF544" s="105"/>
      <c r="AG544" s="105"/>
      <c r="AH544" s="105"/>
      <c r="AI544" s="105"/>
      <c r="AJ544" s="105"/>
      <c r="AK544" s="105"/>
      <c r="AL544" s="105"/>
      <c r="AM544" s="105"/>
    </row>
    <row r="545" spans="1:39" ht="15">
      <c r="A545" s="62" t="s">
        <v>265</v>
      </c>
      <c r="B545" s="62" t="s">
        <v>281</v>
      </c>
      <c r="C545" s="63" t="s">
        <v>3598</v>
      </c>
      <c r="D545" s="64">
        <v>5</v>
      </c>
      <c r="E545" s="65" t="s">
        <v>132</v>
      </c>
      <c r="F545" s="66">
        <v>32</v>
      </c>
      <c r="G545" s="63"/>
      <c r="H545" s="67"/>
      <c r="I545" s="68"/>
      <c r="J545" s="68"/>
      <c r="K545" s="31" t="s">
        <v>65</v>
      </c>
      <c r="L545" s="76">
        <v>545</v>
      </c>
      <c r="M545" s="76"/>
      <c r="N545" s="70"/>
      <c r="O545" s="78" t="s">
        <v>305</v>
      </c>
      <c r="P545" s="78" t="s">
        <v>483</v>
      </c>
      <c r="Q545" s="78" t="s">
        <v>966</v>
      </c>
      <c r="R545" s="78" t="s">
        <v>963</v>
      </c>
      <c r="S545" s="78"/>
      <c r="T545" s="78"/>
      <c r="U545" s="78"/>
      <c r="V545" s="78"/>
      <c r="W545" s="81" t="s">
        <v>1674</v>
      </c>
      <c r="X545" s="81" t="s">
        <v>1674</v>
      </c>
      <c r="Y545" s="78"/>
      <c r="Z545" s="78"/>
      <c r="AA545" s="81" t="s">
        <v>1674</v>
      </c>
      <c r="AB545" s="79">
        <v>1</v>
      </c>
      <c r="AC545" s="80" t="str">
        <f>REPLACE(INDEX(GroupVertices[Group],MATCH("~"&amp;Edges[[#This Row],[Vertex 1]],GroupVertices[Vertex],0)),1,1,"")</f>
        <v>3</v>
      </c>
      <c r="AD545" s="80" t="str">
        <f>REPLACE(INDEX(GroupVertices[Group],MATCH("~"&amp;Edges[[#This Row],[Vertex 2]],GroupVertices[Vertex],0)),1,1,"")</f>
        <v>3</v>
      </c>
      <c r="AE545" s="105"/>
      <c r="AF545" s="105"/>
      <c r="AG545" s="105"/>
      <c r="AH545" s="105"/>
      <c r="AI545" s="105"/>
      <c r="AJ545" s="105"/>
      <c r="AK545" s="105"/>
      <c r="AL545" s="105"/>
      <c r="AM545" s="105"/>
    </row>
    <row r="546" spans="1:39" ht="15">
      <c r="A546" s="62" t="s">
        <v>277</v>
      </c>
      <c r="B546" s="62" t="s">
        <v>281</v>
      </c>
      <c r="C546" s="63" t="s">
        <v>3598</v>
      </c>
      <c r="D546" s="64">
        <v>5</v>
      </c>
      <c r="E546" s="65" t="s">
        <v>132</v>
      </c>
      <c r="F546" s="66">
        <v>32</v>
      </c>
      <c r="G546" s="63"/>
      <c r="H546" s="67"/>
      <c r="I546" s="68"/>
      <c r="J546" s="68"/>
      <c r="K546" s="31" t="s">
        <v>65</v>
      </c>
      <c r="L546" s="76">
        <v>546</v>
      </c>
      <c r="M546" s="76"/>
      <c r="N546" s="70"/>
      <c r="O546" s="78" t="s">
        <v>305</v>
      </c>
      <c r="P546" s="78" t="s">
        <v>483</v>
      </c>
      <c r="Q546" s="78" t="s">
        <v>967</v>
      </c>
      <c r="R546" s="78" t="s">
        <v>963</v>
      </c>
      <c r="S546" s="78"/>
      <c r="T546" s="78"/>
      <c r="U546" s="78"/>
      <c r="V546" s="78"/>
      <c r="W546" s="81" t="s">
        <v>1674</v>
      </c>
      <c r="X546" s="81" t="s">
        <v>1674</v>
      </c>
      <c r="Y546" s="78"/>
      <c r="Z546" s="78"/>
      <c r="AA546" s="81" t="s">
        <v>1674</v>
      </c>
      <c r="AB546" s="79">
        <v>1</v>
      </c>
      <c r="AC546" s="80" t="str">
        <f>REPLACE(INDEX(GroupVertices[Group],MATCH("~"&amp;Edges[[#This Row],[Vertex 1]],GroupVertices[Vertex],0)),1,1,"")</f>
        <v>1</v>
      </c>
      <c r="AD546" s="80" t="str">
        <f>REPLACE(INDEX(GroupVertices[Group],MATCH("~"&amp;Edges[[#This Row],[Vertex 2]],GroupVertices[Vertex],0)),1,1,"")</f>
        <v>3</v>
      </c>
      <c r="AE546" s="105"/>
      <c r="AF546" s="105"/>
      <c r="AG546" s="105"/>
      <c r="AH546" s="105"/>
      <c r="AI546" s="105"/>
      <c r="AJ546" s="105"/>
      <c r="AK546" s="105"/>
      <c r="AL546" s="105"/>
      <c r="AM546" s="105"/>
    </row>
    <row r="547" spans="1:39" ht="15">
      <c r="A547" s="62" t="s">
        <v>279</v>
      </c>
      <c r="B547" s="62" t="s">
        <v>281</v>
      </c>
      <c r="C547" s="63" t="s">
        <v>3598</v>
      </c>
      <c r="D547" s="64">
        <v>5</v>
      </c>
      <c r="E547" s="65" t="s">
        <v>132</v>
      </c>
      <c r="F547" s="66">
        <v>32</v>
      </c>
      <c r="G547" s="63"/>
      <c r="H547" s="67"/>
      <c r="I547" s="68"/>
      <c r="J547" s="68"/>
      <c r="K547" s="31" t="s">
        <v>65</v>
      </c>
      <c r="L547" s="76">
        <v>547</v>
      </c>
      <c r="M547" s="76"/>
      <c r="N547" s="70"/>
      <c r="O547" s="78" t="s">
        <v>305</v>
      </c>
      <c r="P547" s="78" t="s">
        <v>483</v>
      </c>
      <c r="Q547" s="78" t="s">
        <v>968</v>
      </c>
      <c r="R547" s="78" t="s">
        <v>963</v>
      </c>
      <c r="S547" s="78"/>
      <c r="T547" s="78"/>
      <c r="U547" s="78"/>
      <c r="V547" s="78"/>
      <c r="W547" s="81" t="s">
        <v>1674</v>
      </c>
      <c r="X547" s="81" t="s">
        <v>1674</v>
      </c>
      <c r="Y547" s="78"/>
      <c r="Z547" s="78"/>
      <c r="AA547" s="81" t="s">
        <v>1674</v>
      </c>
      <c r="AB547" s="79">
        <v>1</v>
      </c>
      <c r="AC547" s="80" t="str">
        <f>REPLACE(INDEX(GroupVertices[Group],MATCH("~"&amp;Edges[[#This Row],[Vertex 1]],GroupVertices[Vertex],0)),1,1,"")</f>
        <v>3</v>
      </c>
      <c r="AD547" s="80" t="str">
        <f>REPLACE(INDEX(GroupVertices[Group],MATCH("~"&amp;Edges[[#This Row],[Vertex 2]],GroupVertices[Vertex],0)),1,1,"")</f>
        <v>3</v>
      </c>
      <c r="AE547" s="105"/>
      <c r="AF547" s="105"/>
      <c r="AG547" s="105"/>
      <c r="AH547" s="105"/>
      <c r="AI547" s="105"/>
      <c r="AJ547" s="105"/>
      <c r="AK547" s="105"/>
      <c r="AL547" s="105"/>
      <c r="AM547" s="105"/>
    </row>
    <row r="548" spans="1:39" ht="15">
      <c r="A548" s="62" t="s">
        <v>280</v>
      </c>
      <c r="B548" s="62" t="s">
        <v>281</v>
      </c>
      <c r="C548" s="63" t="s">
        <v>3598</v>
      </c>
      <c r="D548" s="64">
        <v>5</v>
      </c>
      <c r="E548" s="65" t="s">
        <v>132</v>
      </c>
      <c r="F548" s="66">
        <v>32</v>
      </c>
      <c r="G548" s="63"/>
      <c r="H548" s="67"/>
      <c r="I548" s="68"/>
      <c r="J548" s="68"/>
      <c r="K548" s="31" t="s">
        <v>65</v>
      </c>
      <c r="L548" s="76">
        <v>548</v>
      </c>
      <c r="M548" s="76"/>
      <c r="N548" s="70"/>
      <c r="O548" s="78" t="s">
        <v>305</v>
      </c>
      <c r="P548" s="78" t="s">
        <v>483</v>
      </c>
      <c r="Q548" s="78" t="s">
        <v>969</v>
      </c>
      <c r="R548" s="78" t="s">
        <v>963</v>
      </c>
      <c r="S548" s="78"/>
      <c r="T548" s="78"/>
      <c r="U548" s="78"/>
      <c r="V548" s="78"/>
      <c r="W548" s="81" t="s">
        <v>1674</v>
      </c>
      <c r="X548" s="81" t="s">
        <v>1674</v>
      </c>
      <c r="Y548" s="78"/>
      <c r="Z548" s="78"/>
      <c r="AA548" s="81" t="s">
        <v>1674</v>
      </c>
      <c r="AB548" s="79">
        <v>1</v>
      </c>
      <c r="AC548" s="80" t="str">
        <f>REPLACE(INDEX(GroupVertices[Group],MATCH("~"&amp;Edges[[#This Row],[Vertex 1]],GroupVertices[Vertex],0)),1,1,"")</f>
        <v>3</v>
      </c>
      <c r="AD548" s="80" t="str">
        <f>REPLACE(INDEX(GroupVertices[Group],MATCH("~"&amp;Edges[[#This Row],[Vertex 2]],GroupVertices[Vertex],0)),1,1,"")</f>
        <v>3</v>
      </c>
      <c r="AE548" s="105"/>
      <c r="AF548" s="105"/>
      <c r="AG548" s="105"/>
      <c r="AH548" s="105"/>
      <c r="AI548" s="105"/>
      <c r="AJ548" s="105"/>
      <c r="AK548" s="105"/>
      <c r="AL548" s="105"/>
      <c r="AM548" s="105"/>
    </row>
    <row r="549" spans="1:39" ht="15">
      <c r="A549" s="62" t="s">
        <v>268</v>
      </c>
      <c r="B549" s="62" t="s">
        <v>294</v>
      </c>
      <c r="C549" s="63" t="s">
        <v>3608</v>
      </c>
      <c r="D549" s="64">
        <v>6.842105263157895</v>
      </c>
      <c r="E549" s="65" t="s">
        <v>136</v>
      </c>
      <c r="F549" s="66">
        <v>28.566037735849058</v>
      </c>
      <c r="G549" s="63"/>
      <c r="H549" s="67"/>
      <c r="I549" s="68"/>
      <c r="J549" s="68"/>
      <c r="K549" s="31" t="s">
        <v>65</v>
      </c>
      <c r="L549" s="76">
        <v>549</v>
      </c>
      <c r="M549" s="76"/>
      <c r="N549" s="70"/>
      <c r="O549" s="78" t="s">
        <v>305</v>
      </c>
      <c r="P549" s="78" t="s">
        <v>457</v>
      </c>
      <c r="Q549" s="78" t="s">
        <v>970</v>
      </c>
      <c r="R549" s="78" t="s">
        <v>1431</v>
      </c>
      <c r="S549" s="78"/>
      <c r="T549" s="78"/>
      <c r="U549" s="78"/>
      <c r="V549" s="78"/>
      <c r="W549" s="81" t="s">
        <v>1674</v>
      </c>
      <c r="X549" s="81" t="s">
        <v>1674</v>
      </c>
      <c r="Y549" s="78"/>
      <c r="Z549" s="78"/>
      <c r="AA549" s="81" t="s">
        <v>1674</v>
      </c>
      <c r="AB549" s="79">
        <v>8</v>
      </c>
      <c r="AC549" s="80" t="str">
        <f>REPLACE(INDEX(GroupVertices[Group],MATCH("~"&amp;Edges[[#This Row],[Vertex 1]],GroupVertices[Vertex],0)),1,1,"")</f>
        <v>6</v>
      </c>
      <c r="AD549" s="80" t="str">
        <f>REPLACE(INDEX(GroupVertices[Group],MATCH("~"&amp;Edges[[#This Row],[Vertex 2]],GroupVertices[Vertex],0)),1,1,"")</f>
        <v>2</v>
      </c>
      <c r="AE549" s="105"/>
      <c r="AF549" s="105"/>
      <c r="AG549" s="105"/>
      <c r="AH549" s="105"/>
      <c r="AI549" s="105"/>
      <c r="AJ549" s="105"/>
      <c r="AK549" s="105"/>
      <c r="AL549" s="105"/>
      <c r="AM549" s="105"/>
    </row>
    <row r="550" spans="1:39" ht="15">
      <c r="A550" s="62" t="s">
        <v>268</v>
      </c>
      <c r="B550" s="62" t="s">
        <v>294</v>
      </c>
      <c r="C550" s="63" t="s">
        <v>3608</v>
      </c>
      <c r="D550" s="64">
        <v>6.842105263157895</v>
      </c>
      <c r="E550" s="65" t="s">
        <v>136</v>
      </c>
      <c r="F550" s="66">
        <v>28.566037735849058</v>
      </c>
      <c r="G550" s="63"/>
      <c r="H550" s="67"/>
      <c r="I550" s="68"/>
      <c r="J550" s="68"/>
      <c r="K550" s="31" t="s">
        <v>65</v>
      </c>
      <c r="L550" s="76">
        <v>550</v>
      </c>
      <c r="M550" s="76"/>
      <c r="N550" s="70"/>
      <c r="O550" s="78" t="s">
        <v>305</v>
      </c>
      <c r="P550" s="78" t="s">
        <v>484</v>
      </c>
      <c r="Q550" s="78" t="s">
        <v>971</v>
      </c>
      <c r="R550" s="78" t="s">
        <v>1458</v>
      </c>
      <c r="S550" s="78"/>
      <c r="T550" s="78"/>
      <c r="U550" s="78"/>
      <c r="V550" s="78"/>
      <c r="W550" s="81" t="s">
        <v>1674</v>
      </c>
      <c r="X550" s="81" t="s">
        <v>1674</v>
      </c>
      <c r="Y550" s="78"/>
      <c r="Z550" s="78"/>
      <c r="AA550" s="81" t="s">
        <v>1674</v>
      </c>
      <c r="AB550" s="79">
        <v>8</v>
      </c>
      <c r="AC550" s="80" t="str">
        <f>REPLACE(INDEX(GroupVertices[Group],MATCH("~"&amp;Edges[[#This Row],[Vertex 1]],GroupVertices[Vertex],0)),1,1,"")</f>
        <v>6</v>
      </c>
      <c r="AD550" s="80" t="str">
        <f>REPLACE(INDEX(GroupVertices[Group],MATCH("~"&amp;Edges[[#This Row],[Vertex 2]],GroupVertices[Vertex],0)),1,1,"")</f>
        <v>2</v>
      </c>
      <c r="AE550" s="105"/>
      <c r="AF550" s="105"/>
      <c r="AG550" s="105"/>
      <c r="AH550" s="105"/>
      <c r="AI550" s="105"/>
      <c r="AJ550" s="105"/>
      <c r="AK550" s="105"/>
      <c r="AL550" s="105"/>
      <c r="AM550" s="105"/>
    </row>
    <row r="551" spans="1:39" ht="15">
      <c r="A551" s="62" t="s">
        <v>268</v>
      </c>
      <c r="B551" s="62" t="s">
        <v>294</v>
      </c>
      <c r="C551" s="63" t="s">
        <v>3608</v>
      </c>
      <c r="D551" s="64">
        <v>6.842105263157895</v>
      </c>
      <c r="E551" s="65" t="s">
        <v>136</v>
      </c>
      <c r="F551" s="66">
        <v>28.566037735849058</v>
      </c>
      <c r="G551" s="63"/>
      <c r="H551" s="67"/>
      <c r="I551" s="68"/>
      <c r="J551" s="68"/>
      <c r="K551" s="31" t="s">
        <v>65</v>
      </c>
      <c r="L551" s="76">
        <v>551</v>
      </c>
      <c r="M551" s="76"/>
      <c r="N551" s="70"/>
      <c r="O551" s="78" t="s">
        <v>305</v>
      </c>
      <c r="P551" s="78" t="s">
        <v>484</v>
      </c>
      <c r="Q551" s="78" t="s">
        <v>971</v>
      </c>
      <c r="R551" s="78" t="s">
        <v>1459</v>
      </c>
      <c r="S551" s="78"/>
      <c r="T551" s="78"/>
      <c r="U551" s="78"/>
      <c r="V551" s="78"/>
      <c r="W551" s="81" t="s">
        <v>1674</v>
      </c>
      <c r="X551" s="81" t="s">
        <v>1674</v>
      </c>
      <c r="Y551" s="78"/>
      <c r="Z551" s="78"/>
      <c r="AA551" s="81" t="s">
        <v>1674</v>
      </c>
      <c r="AB551" s="79">
        <v>8</v>
      </c>
      <c r="AC551" s="80" t="str">
        <f>REPLACE(INDEX(GroupVertices[Group],MATCH("~"&amp;Edges[[#This Row],[Vertex 1]],GroupVertices[Vertex],0)),1,1,"")</f>
        <v>6</v>
      </c>
      <c r="AD551" s="80" t="str">
        <f>REPLACE(INDEX(GroupVertices[Group],MATCH("~"&amp;Edges[[#This Row],[Vertex 2]],GroupVertices[Vertex],0)),1,1,"")</f>
        <v>2</v>
      </c>
      <c r="AE551" s="105"/>
      <c r="AF551" s="105"/>
      <c r="AG551" s="105"/>
      <c r="AH551" s="105"/>
      <c r="AI551" s="105"/>
      <c r="AJ551" s="105"/>
      <c r="AK551" s="105"/>
      <c r="AL551" s="105"/>
      <c r="AM551" s="105"/>
    </row>
    <row r="552" spans="1:39" ht="15">
      <c r="A552" s="62" t="s">
        <v>268</v>
      </c>
      <c r="B552" s="62" t="s">
        <v>294</v>
      </c>
      <c r="C552" s="63" t="s">
        <v>3608</v>
      </c>
      <c r="D552" s="64">
        <v>6.842105263157895</v>
      </c>
      <c r="E552" s="65" t="s">
        <v>136</v>
      </c>
      <c r="F552" s="66">
        <v>28.566037735849058</v>
      </c>
      <c r="G552" s="63"/>
      <c r="H552" s="67"/>
      <c r="I552" s="68"/>
      <c r="J552" s="68"/>
      <c r="K552" s="31" t="s">
        <v>65</v>
      </c>
      <c r="L552" s="76">
        <v>552</v>
      </c>
      <c r="M552" s="76"/>
      <c r="N552" s="70"/>
      <c r="O552" s="78" t="s">
        <v>305</v>
      </c>
      <c r="P552" s="78" t="s">
        <v>485</v>
      </c>
      <c r="Q552" s="78" t="s">
        <v>972</v>
      </c>
      <c r="R552" s="78" t="s">
        <v>1460</v>
      </c>
      <c r="S552" s="78"/>
      <c r="T552" s="78"/>
      <c r="U552" s="78"/>
      <c r="V552" s="78"/>
      <c r="W552" s="81" t="s">
        <v>1674</v>
      </c>
      <c r="X552" s="81" t="s">
        <v>1674</v>
      </c>
      <c r="Y552" s="78"/>
      <c r="Z552" s="78"/>
      <c r="AA552" s="81" t="s">
        <v>1674</v>
      </c>
      <c r="AB552" s="79">
        <v>8</v>
      </c>
      <c r="AC552" s="80" t="str">
        <f>REPLACE(INDEX(GroupVertices[Group],MATCH("~"&amp;Edges[[#This Row],[Vertex 1]],GroupVertices[Vertex],0)),1,1,"")</f>
        <v>6</v>
      </c>
      <c r="AD552" s="80" t="str">
        <f>REPLACE(INDEX(GroupVertices[Group],MATCH("~"&amp;Edges[[#This Row],[Vertex 2]],GroupVertices[Vertex],0)),1,1,"")</f>
        <v>2</v>
      </c>
      <c r="AE552" s="105"/>
      <c r="AF552" s="105"/>
      <c r="AG552" s="105"/>
      <c r="AH552" s="105"/>
      <c r="AI552" s="105"/>
      <c r="AJ552" s="105"/>
      <c r="AK552" s="105"/>
      <c r="AL552" s="105"/>
      <c r="AM552" s="105"/>
    </row>
    <row r="553" spans="1:39" ht="15">
      <c r="A553" s="62" t="s">
        <v>268</v>
      </c>
      <c r="B553" s="62" t="s">
        <v>294</v>
      </c>
      <c r="C553" s="63" t="s">
        <v>3608</v>
      </c>
      <c r="D553" s="64">
        <v>6.842105263157895</v>
      </c>
      <c r="E553" s="65" t="s">
        <v>136</v>
      </c>
      <c r="F553" s="66">
        <v>28.566037735849058</v>
      </c>
      <c r="G553" s="63"/>
      <c r="H553" s="67"/>
      <c r="I553" s="68"/>
      <c r="J553" s="68"/>
      <c r="K553" s="31" t="s">
        <v>65</v>
      </c>
      <c r="L553" s="76">
        <v>553</v>
      </c>
      <c r="M553" s="76"/>
      <c r="N553" s="70"/>
      <c r="O553" s="78" t="s">
        <v>305</v>
      </c>
      <c r="P553" s="78" t="s">
        <v>485</v>
      </c>
      <c r="Q553" s="78" t="s">
        <v>973</v>
      </c>
      <c r="R553" s="78" t="s">
        <v>1460</v>
      </c>
      <c r="S553" s="78"/>
      <c r="T553" s="78"/>
      <c r="U553" s="78"/>
      <c r="V553" s="78"/>
      <c r="W553" s="81" t="s">
        <v>1674</v>
      </c>
      <c r="X553" s="81" t="s">
        <v>1674</v>
      </c>
      <c r="Y553" s="78"/>
      <c r="Z553" s="78"/>
      <c r="AA553" s="81" t="s">
        <v>1674</v>
      </c>
      <c r="AB553" s="79">
        <v>8</v>
      </c>
      <c r="AC553" s="80" t="str">
        <f>REPLACE(INDEX(GroupVertices[Group],MATCH("~"&amp;Edges[[#This Row],[Vertex 1]],GroupVertices[Vertex],0)),1,1,"")</f>
        <v>6</v>
      </c>
      <c r="AD553" s="80" t="str">
        <f>REPLACE(INDEX(GroupVertices[Group],MATCH("~"&amp;Edges[[#This Row],[Vertex 2]],GroupVertices[Vertex],0)),1,1,"")</f>
        <v>2</v>
      </c>
      <c r="AE553" s="105"/>
      <c r="AF553" s="105"/>
      <c r="AG553" s="105"/>
      <c r="AH553" s="105"/>
      <c r="AI553" s="105"/>
      <c r="AJ553" s="105"/>
      <c r="AK553" s="105"/>
      <c r="AL553" s="105"/>
      <c r="AM553" s="105"/>
    </row>
    <row r="554" spans="1:39" ht="15">
      <c r="A554" s="62" t="s">
        <v>268</v>
      </c>
      <c r="B554" s="62" t="s">
        <v>294</v>
      </c>
      <c r="C554" s="63" t="s">
        <v>3608</v>
      </c>
      <c r="D554" s="64">
        <v>6.842105263157895</v>
      </c>
      <c r="E554" s="65" t="s">
        <v>136</v>
      </c>
      <c r="F554" s="66">
        <v>28.566037735849058</v>
      </c>
      <c r="G554" s="63"/>
      <c r="H554" s="67"/>
      <c r="I554" s="68"/>
      <c r="J554" s="68"/>
      <c r="K554" s="31" t="s">
        <v>65</v>
      </c>
      <c r="L554" s="76">
        <v>554</v>
      </c>
      <c r="M554" s="76"/>
      <c r="N554" s="70"/>
      <c r="O554" s="78" t="s">
        <v>305</v>
      </c>
      <c r="P554" s="78" t="s">
        <v>486</v>
      </c>
      <c r="Q554" s="78" t="s">
        <v>974</v>
      </c>
      <c r="R554" s="78" t="s">
        <v>1461</v>
      </c>
      <c r="S554" s="78"/>
      <c r="T554" s="78"/>
      <c r="U554" s="78"/>
      <c r="V554" s="78"/>
      <c r="W554" s="81" t="s">
        <v>1674</v>
      </c>
      <c r="X554" s="81" t="s">
        <v>1674</v>
      </c>
      <c r="Y554" s="78"/>
      <c r="Z554" s="78"/>
      <c r="AA554" s="81" t="s">
        <v>1674</v>
      </c>
      <c r="AB554" s="79">
        <v>8</v>
      </c>
      <c r="AC554" s="80" t="str">
        <f>REPLACE(INDEX(GroupVertices[Group],MATCH("~"&amp;Edges[[#This Row],[Vertex 1]],GroupVertices[Vertex],0)),1,1,"")</f>
        <v>6</v>
      </c>
      <c r="AD554" s="80" t="str">
        <f>REPLACE(INDEX(GroupVertices[Group],MATCH("~"&amp;Edges[[#This Row],[Vertex 2]],GroupVertices[Vertex],0)),1,1,"")</f>
        <v>2</v>
      </c>
      <c r="AE554" s="105"/>
      <c r="AF554" s="105"/>
      <c r="AG554" s="105"/>
      <c r="AH554" s="105"/>
      <c r="AI554" s="105"/>
      <c r="AJ554" s="105"/>
      <c r="AK554" s="105"/>
      <c r="AL554" s="105"/>
      <c r="AM554" s="105"/>
    </row>
    <row r="555" spans="1:39" ht="15">
      <c r="A555" s="62" t="s">
        <v>268</v>
      </c>
      <c r="B555" s="62" t="s">
        <v>294</v>
      </c>
      <c r="C555" s="63" t="s">
        <v>3608</v>
      </c>
      <c r="D555" s="64">
        <v>6.842105263157895</v>
      </c>
      <c r="E555" s="65" t="s">
        <v>136</v>
      </c>
      <c r="F555" s="66">
        <v>28.566037735849058</v>
      </c>
      <c r="G555" s="63"/>
      <c r="H555" s="67"/>
      <c r="I555" s="68"/>
      <c r="J555" s="68"/>
      <c r="K555" s="31" t="s">
        <v>65</v>
      </c>
      <c r="L555" s="76">
        <v>555</v>
      </c>
      <c r="M555" s="76"/>
      <c r="N555" s="70"/>
      <c r="O555" s="78" t="s">
        <v>305</v>
      </c>
      <c r="P555" s="78" t="s">
        <v>487</v>
      </c>
      <c r="Q555" s="78" t="s">
        <v>975</v>
      </c>
      <c r="R555" s="78" t="s">
        <v>1462</v>
      </c>
      <c r="S555" s="78"/>
      <c r="T555" s="78"/>
      <c r="U555" s="78"/>
      <c r="V555" s="78"/>
      <c r="W555" s="81" t="s">
        <v>1674</v>
      </c>
      <c r="X555" s="81" t="s">
        <v>1674</v>
      </c>
      <c r="Y555" s="78"/>
      <c r="Z555" s="78"/>
      <c r="AA555" s="81" t="s">
        <v>1674</v>
      </c>
      <c r="AB555" s="79">
        <v>8</v>
      </c>
      <c r="AC555" s="80" t="str">
        <f>REPLACE(INDEX(GroupVertices[Group],MATCH("~"&amp;Edges[[#This Row],[Vertex 1]],GroupVertices[Vertex],0)),1,1,"")</f>
        <v>6</v>
      </c>
      <c r="AD555" s="80" t="str">
        <f>REPLACE(INDEX(GroupVertices[Group],MATCH("~"&amp;Edges[[#This Row],[Vertex 2]],GroupVertices[Vertex],0)),1,1,"")</f>
        <v>2</v>
      </c>
      <c r="AE555" s="105"/>
      <c r="AF555" s="105"/>
      <c r="AG555" s="105"/>
      <c r="AH555" s="105"/>
      <c r="AI555" s="105"/>
      <c r="AJ555" s="105"/>
      <c r="AK555" s="105"/>
      <c r="AL555" s="105"/>
      <c r="AM555" s="105"/>
    </row>
    <row r="556" spans="1:39" ht="15">
      <c r="A556" s="62" t="s">
        <v>268</v>
      </c>
      <c r="B556" s="62" t="s">
        <v>294</v>
      </c>
      <c r="C556" s="63" t="s">
        <v>3608</v>
      </c>
      <c r="D556" s="64">
        <v>6.842105263157895</v>
      </c>
      <c r="E556" s="65" t="s">
        <v>136</v>
      </c>
      <c r="F556" s="66">
        <v>28.566037735849058</v>
      </c>
      <c r="G556" s="63"/>
      <c r="H556" s="67"/>
      <c r="I556" s="68"/>
      <c r="J556" s="68"/>
      <c r="K556" s="31" t="s">
        <v>65</v>
      </c>
      <c r="L556" s="76">
        <v>556</v>
      </c>
      <c r="M556" s="76"/>
      <c r="N556" s="70"/>
      <c r="O556" s="78" t="s">
        <v>305</v>
      </c>
      <c r="P556" s="78" t="s">
        <v>487</v>
      </c>
      <c r="Q556" s="78" t="s">
        <v>976</v>
      </c>
      <c r="R556" s="78" t="s">
        <v>1462</v>
      </c>
      <c r="S556" s="78"/>
      <c r="T556" s="78"/>
      <c r="U556" s="78"/>
      <c r="V556" s="78"/>
      <c r="W556" s="81" t="s">
        <v>1674</v>
      </c>
      <c r="X556" s="81" t="s">
        <v>1674</v>
      </c>
      <c r="Y556" s="78"/>
      <c r="Z556" s="78"/>
      <c r="AA556" s="81" t="s">
        <v>1674</v>
      </c>
      <c r="AB556" s="79">
        <v>8</v>
      </c>
      <c r="AC556" s="80" t="str">
        <f>REPLACE(INDEX(GroupVertices[Group],MATCH("~"&amp;Edges[[#This Row],[Vertex 1]],GroupVertices[Vertex],0)),1,1,"")</f>
        <v>6</v>
      </c>
      <c r="AD556" s="80" t="str">
        <f>REPLACE(INDEX(GroupVertices[Group],MATCH("~"&amp;Edges[[#This Row],[Vertex 2]],GroupVertices[Vertex],0)),1,1,"")</f>
        <v>2</v>
      </c>
      <c r="AE556" s="105"/>
      <c r="AF556" s="105"/>
      <c r="AG556" s="105"/>
      <c r="AH556" s="105"/>
      <c r="AI556" s="105"/>
      <c r="AJ556" s="105"/>
      <c r="AK556" s="105"/>
      <c r="AL556" s="105"/>
      <c r="AM556" s="105"/>
    </row>
    <row r="557" spans="1:39" ht="15">
      <c r="A557" s="62" t="s">
        <v>268</v>
      </c>
      <c r="B557" s="62" t="s">
        <v>223</v>
      </c>
      <c r="C557" s="63" t="s">
        <v>3598</v>
      </c>
      <c r="D557" s="64">
        <v>5</v>
      </c>
      <c r="E557" s="65" t="s">
        <v>132</v>
      </c>
      <c r="F557" s="66">
        <v>32</v>
      </c>
      <c r="G557" s="63"/>
      <c r="H557" s="67"/>
      <c r="I557" s="68"/>
      <c r="J557" s="68"/>
      <c r="K557" s="31" t="s">
        <v>65</v>
      </c>
      <c r="L557" s="76">
        <v>557</v>
      </c>
      <c r="M557" s="76"/>
      <c r="N557" s="70"/>
      <c r="O557" s="78" t="s">
        <v>305</v>
      </c>
      <c r="P557" s="78" t="s">
        <v>488</v>
      </c>
      <c r="Q557" s="78" t="s">
        <v>977</v>
      </c>
      <c r="R557" s="78" t="s">
        <v>1463</v>
      </c>
      <c r="S557" s="78"/>
      <c r="T557" s="78"/>
      <c r="U557" s="78"/>
      <c r="V557" s="78"/>
      <c r="W557" s="81" t="s">
        <v>1674</v>
      </c>
      <c r="X557" s="81" t="s">
        <v>1674</v>
      </c>
      <c r="Y557" s="78"/>
      <c r="Z557" s="78"/>
      <c r="AA557" s="81" t="s">
        <v>1674</v>
      </c>
      <c r="AB557" s="79">
        <v>1</v>
      </c>
      <c r="AC557" s="80" t="str">
        <f>REPLACE(INDEX(GroupVertices[Group],MATCH("~"&amp;Edges[[#This Row],[Vertex 1]],GroupVertices[Vertex],0)),1,1,"")</f>
        <v>6</v>
      </c>
      <c r="AD557" s="80" t="str">
        <f>REPLACE(INDEX(GroupVertices[Group],MATCH("~"&amp;Edges[[#This Row],[Vertex 2]],GroupVertices[Vertex],0)),1,1,"")</f>
        <v>5</v>
      </c>
      <c r="AE557" s="105"/>
      <c r="AF557" s="105"/>
      <c r="AG557" s="105"/>
      <c r="AH557" s="105"/>
      <c r="AI557" s="105"/>
      <c r="AJ557" s="105"/>
      <c r="AK557" s="105"/>
      <c r="AL557" s="105"/>
      <c r="AM557" s="105"/>
    </row>
    <row r="558" spans="1:39" ht="15">
      <c r="A558" s="62" t="s">
        <v>282</v>
      </c>
      <c r="B558" s="62" t="s">
        <v>268</v>
      </c>
      <c r="C558" s="63" t="s">
        <v>3598</v>
      </c>
      <c r="D558" s="64">
        <v>5</v>
      </c>
      <c r="E558" s="65" t="s">
        <v>132</v>
      </c>
      <c r="F558" s="66">
        <v>32</v>
      </c>
      <c r="G558" s="63"/>
      <c r="H558" s="67"/>
      <c r="I558" s="68"/>
      <c r="J558" s="68"/>
      <c r="K558" s="31" t="s">
        <v>65</v>
      </c>
      <c r="L558" s="76">
        <v>558</v>
      </c>
      <c r="M558" s="76"/>
      <c r="N558" s="70"/>
      <c r="O558" s="78" t="s">
        <v>305</v>
      </c>
      <c r="P558" s="78" t="s">
        <v>489</v>
      </c>
      <c r="Q558" s="78" t="s">
        <v>978</v>
      </c>
      <c r="R558" s="78" t="s">
        <v>1464</v>
      </c>
      <c r="S558" s="78"/>
      <c r="T558" s="78"/>
      <c r="U558" s="78"/>
      <c r="V558" s="78"/>
      <c r="W558" s="81" t="s">
        <v>1674</v>
      </c>
      <c r="X558" s="81" t="s">
        <v>1674</v>
      </c>
      <c r="Y558" s="78"/>
      <c r="Z558" s="78"/>
      <c r="AA558" s="81" t="s">
        <v>1674</v>
      </c>
      <c r="AB558" s="79">
        <v>1</v>
      </c>
      <c r="AC558" s="80" t="str">
        <f>REPLACE(INDEX(GroupVertices[Group],MATCH("~"&amp;Edges[[#This Row],[Vertex 1]],GroupVertices[Vertex],0)),1,1,"")</f>
        <v>3</v>
      </c>
      <c r="AD558" s="80" t="str">
        <f>REPLACE(INDEX(GroupVertices[Group],MATCH("~"&amp;Edges[[#This Row],[Vertex 2]],GroupVertices[Vertex],0)),1,1,"")</f>
        <v>6</v>
      </c>
      <c r="AE558" s="105"/>
      <c r="AF558" s="105"/>
      <c r="AG558" s="105"/>
      <c r="AH558" s="105"/>
      <c r="AI558" s="105"/>
      <c r="AJ558" s="105"/>
      <c r="AK558" s="105"/>
      <c r="AL558" s="105"/>
      <c r="AM558" s="105"/>
    </row>
    <row r="559" spans="1:39" ht="15">
      <c r="A559" s="62" t="s">
        <v>245</v>
      </c>
      <c r="B559" s="62" t="s">
        <v>268</v>
      </c>
      <c r="C559" s="63" t="s">
        <v>3598</v>
      </c>
      <c r="D559" s="64">
        <v>5</v>
      </c>
      <c r="E559" s="65" t="s">
        <v>132</v>
      </c>
      <c r="F559" s="66">
        <v>32</v>
      </c>
      <c r="G559" s="63"/>
      <c r="H559" s="67"/>
      <c r="I559" s="68"/>
      <c r="J559" s="68"/>
      <c r="K559" s="31" t="s">
        <v>65</v>
      </c>
      <c r="L559" s="76">
        <v>559</v>
      </c>
      <c r="M559" s="76"/>
      <c r="N559" s="70"/>
      <c r="O559" s="78" t="s">
        <v>305</v>
      </c>
      <c r="P559" s="78" t="s">
        <v>490</v>
      </c>
      <c r="Q559" s="78" t="s">
        <v>979</v>
      </c>
      <c r="R559" s="78" t="s">
        <v>1465</v>
      </c>
      <c r="S559" s="78"/>
      <c r="T559" s="78"/>
      <c r="U559" s="78"/>
      <c r="V559" s="78"/>
      <c r="W559" s="81" t="s">
        <v>1674</v>
      </c>
      <c r="X559" s="81" t="s">
        <v>1674</v>
      </c>
      <c r="Y559" s="78"/>
      <c r="Z559" s="78"/>
      <c r="AA559" s="81" t="s">
        <v>1674</v>
      </c>
      <c r="AB559" s="79">
        <v>1</v>
      </c>
      <c r="AC559" s="80" t="str">
        <f>REPLACE(INDEX(GroupVertices[Group],MATCH("~"&amp;Edges[[#This Row],[Vertex 1]],GroupVertices[Vertex],0)),1,1,"")</f>
        <v>1</v>
      </c>
      <c r="AD559" s="80" t="str">
        <f>REPLACE(INDEX(GroupVertices[Group],MATCH("~"&amp;Edges[[#This Row],[Vertex 2]],GroupVertices[Vertex],0)),1,1,"")</f>
        <v>6</v>
      </c>
      <c r="AE559" s="105"/>
      <c r="AF559" s="105"/>
      <c r="AG559" s="105"/>
      <c r="AH559" s="105"/>
      <c r="AI559" s="105"/>
      <c r="AJ559" s="105"/>
      <c r="AK559" s="105"/>
      <c r="AL559" s="105"/>
      <c r="AM559" s="105"/>
    </row>
    <row r="560" spans="1:39" ht="15">
      <c r="A560" s="62" t="s">
        <v>256</v>
      </c>
      <c r="B560" s="62" t="s">
        <v>268</v>
      </c>
      <c r="C560" s="63" t="s">
        <v>3598</v>
      </c>
      <c r="D560" s="64">
        <v>5</v>
      </c>
      <c r="E560" s="65" t="s">
        <v>132</v>
      </c>
      <c r="F560" s="66">
        <v>32</v>
      </c>
      <c r="G560" s="63"/>
      <c r="H560" s="67"/>
      <c r="I560" s="68"/>
      <c r="J560" s="68"/>
      <c r="K560" s="31" t="s">
        <v>65</v>
      </c>
      <c r="L560" s="76">
        <v>560</v>
      </c>
      <c r="M560" s="76"/>
      <c r="N560" s="70"/>
      <c r="O560" s="78" t="s">
        <v>305</v>
      </c>
      <c r="P560" s="78" t="s">
        <v>453</v>
      </c>
      <c r="Q560" s="78" t="s">
        <v>980</v>
      </c>
      <c r="R560" s="78" t="s">
        <v>1427</v>
      </c>
      <c r="S560" s="78"/>
      <c r="T560" s="78"/>
      <c r="U560" s="78"/>
      <c r="V560" s="78"/>
      <c r="W560" s="81" t="s">
        <v>1674</v>
      </c>
      <c r="X560" s="81" t="s">
        <v>1674</v>
      </c>
      <c r="Y560" s="78"/>
      <c r="Z560" s="78"/>
      <c r="AA560" s="81" t="s">
        <v>1674</v>
      </c>
      <c r="AB560" s="79">
        <v>1</v>
      </c>
      <c r="AC560" s="80" t="str">
        <f>REPLACE(INDEX(GroupVertices[Group],MATCH("~"&amp;Edges[[#This Row],[Vertex 1]],GroupVertices[Vertex],0)),1,1,"")</f>
        <v>1</v>
      </c>
      <c r="AD560" s="80" t="str">
        <f>REPLACE(INDEX(GroupVertices[Group],MATCH("~"&amp;Edges[[#This Row],[Vertex 2]],GroupVertices[Vertex],0)),1,1,"")</f>
        <v>6</v>
      </c>
      <c r="AE560" s="105"/>
      <c r="AF560" s="105"/>
      <c r="AG560" s="105"/>
      <c r="AH560" s="105"/>
      <c r="AI560" s="105"/>
      <c r="AJ560" s="105"/>
      <c r="AK560" s="105"/>
      <c r="AL560" s="105"/>
      <c r="AM560" s="105"/>
    </row>
    <row r="561" spans="1:39" ht="15">
      <c r="A561" s="62" t="s">
        <v>235</v>
      </c>
      <c r="B561" s="62" t="s">
        <v>268</v>
      </c>
      <c r="C561" s="63" t="s">
        <v>3598</v>
      </c>
      <c r="D561" s="64">
        <v>5</v>
      </c>
      <c r="E561" s="65" t="s">
        <v>132</v>
      </c>
      <c r="F561" s="66">
        <v>32</v>
      </c>
      <c r="G561" s="63"/>
      <c r="H561" s="67"/>
      <c r="I561" s="68"/>
      <c r="J561" s="68"/>
      <c r="K561" s="31" t="s">
        <v>65</v>
      </c>
      <c r="L561" s="76">
        <v>561</v>
      </c>
      <c r="M561" s="76"/>
      <c r="N561" s="70"/>
      <c r="O561" s="78" t="s">
        <v>305</v>
      </c>
      <c r="P561" s="78" t="s">
        <v>453</v>
      </c>
      <c r="Q561" s="78" t="s">
        <v>908</v>
      </c>
      <c r="R561" s="78" t="s">
        <v>1427</v>
      </c>
      <c r="S561" s="78"/>
      <c r="T561" s="78"/>
      <c r="U561" s="78"/>
      <c r="V561" s="78"/>
      <c r="W561" s="81" t="s">
        <v>1674</v>
      </c>
      <c r="X561" s="81" t="s">
        <v>1674</v>
      </c>
      <c r="Y561" s="78"/>
      <c r="Z561" s="78"/>
      <c r="AA561" s="81" t="s">
        <v>1674</v>
      </c>
      <c r="AB561" s="79">
        <v>1</v>
      </c>
      <c r="AC561" s="80" t="str">
        <f>REPLACE(INDEX(GroupVertices[Group],MATCH("~"&amp;Edges[[#This Row],[Vertex 1]],GroupVertices[Vertex],0)),1,1,"")</f>
        <v>1</v>
      </c>
      <c r="AD561" s="80" t="str">
        <f>REPLACE(INDEX(GroupVertices[Group],MATCH("~"&amp;Edges[[#This Row],[Vertex 2]],GroupVertices[Vertex],0)),1,1,"")</f>
        <v>6</v>
      </c>
      <c r="AE561" s="105"/>
      <c r="AF561" s="105"/>
      <c r="AG561" s="105"/>
      <c r="AH561" s="105"/>
      <c r="AI561" s="105"/>
      <c r="AJ561" s="105"/>
      <c r="AK561" s="105"/>
      <c r="AL561" s="105"/>
      <c r="AM561" s="105"/>
    </row>
    <row r="562" spans="1:39" ht="15">
      <c r="A562" s="62" t="s">
        <v>267</v>
      </c>
      <c r="B562" s="62" t="s">
        <v>268</v>
      </c>
      <c r="C562" s="63" t="s">
        <v>3602</v>
      </c>
      <c r="D562" s="64">
        <v>5.526315789473684</v>
      </c>
      <c r="E562" s="65" t="s">
        <v>136</v>
      </c>
      <c r="F562" s="66">
        <v>31.0188679245283</v>
      </c>
      <c r="G562" s="63"/>
      <c r="H562" s="67"/>
      <c r="I562" s="68"/>
      <c r="J562" s="68"/>
      <c r="K562" s="31" t="s">
        <v>65</v>
      </c>
      <c r="L562" s="76">
        <v>562</v>
      </c>
      <c r="M562" s="76"/>
      <c r="N562" s="70"/>
      <c r="O562" s="78" t="s">
        <v>305</v>
      </c>
      <c r="P562" s="78" t="s">
        <v>393</v>
      </c>
      <c r="Q562" s="78" t="s">
        <v>803</v>
      </c>
      <c r="R562" s="78" t="s">
        <v>795</v>
      </c>
      <c r="S562" s="78"/>
      <c r="T562" s="78"/>
      <c r="U562" s="78"/>
      <c r="V562" s="78"/>
      <c r="W562" s="81" t="s">
        <v>1674</v>
      </c>
      <c r="X562" s="81" t="s">
        <v>1674</v>
      </c>
      <c r="Y562" s="78"/>
      <c r="Z562" s="78"/>
      <c r="AA562" s="81" t="s">
        <v>1674</v>
      </c>
      <c r="AB562" s="79">
        <v>3</v>
      </c>
      <c r="AC562" s="80" t="str">
        <f>REPLACE(INDEX(GroupVertices[Group],MATCH("~"&amp;Edges[[#This Row],[Vertex 1]],GroupVertices[Vertex],0)),1,1,"")</f>
        <v>1</v>
      </c>
      <c r="AD562" s="80" t="str">
        <f>REPLACE(INDEX(GroupVertices[Group],MATCH("~"&amp;Edges[[#This Row],[Vertex 2]],GroupVertices[Vertex],0)),1,1,"")</f>
        <v>6</v>
      </c>
      <c r="AE562" s="105"/>
      <c r="AF562" s="105"/>
      <c r="AG562" s="105"/>
      <c r="AH562" s="105"/>
      <c r="AI562" s="105"/>
      <c r="AJ562" s="105"/>
      <c r="AK562" s="105"/>
      <c r="AL562" s="105"/>
      <c r="AM562" s="105"/>
    </row>
    <row r="563" spans="1:39" ht="15">
      <c r="A563" s="62" t="s">
        <v>267</v>
      </c>
      <c r="B563" s="62" t="s">
        <v>268</v>
      </c>
      <c r="C563" s="63" t="s">
        <v>3602</v>
      </c>
      <c r="D563" s="64">
        <v>5.526315789473684</v>
      </c>
      <c r="E563" s="65" t="s">
        <v>136</v>
      </c>
      <c r="F563" s="66">
        <v>31.0188679245283</v>
      </c>
      <c r="G563" s="63"/>
      <c r="H563" s="67"/>
      <c r="I563" s="68"/>
      <c r="J563" s="68"/>
      <c r="K563" s="31" t="s">
        <v>65</v>
      </c>
      <c r="L563" s="76">
        <v>563</v>
      </c>
      <c r="M563" s="76"/>
      <c r="N563" s="70"/>
      <c r="O563" s="78" t="s">
        <v>305</v>
      </c>
      <c r="P563" s="78" t="s">
        <v>393</v>
      </c>
      <c r="Q563" s="78" t="s">
        <v>803</v>
      </c>
      <c r="R563" s="78" t="s">
        <v>796</v>
      </c>
      <c r="S563" s="78"/>
      <c r="T563" s="78"/>
      <c r="U563" s="78"/>
      <c r="V563" s="78"/>
      <c r="W563" s="81" t="s">
        <v>1674</v>
      </c>
      <c r="X563" s="81" t="s">
        <v>1674</v>
      </c>
      <c r="Y563" s="78"/>
      <c r="Z563" s="78"/>
      <c r="AA563" s="81" t="s">
        <v>1674</v>
      </c>
      <c r="AB563" s="79">
        <v>3</v>
      </c>
      <c r="AC563" s="80" t="str">
        <f>REPLACE(INDEX(GroupVertices[Group],MATCH("~"&amp;Edges[[#This Row],[Vertex 1]],GroupVertices[Vertex],0)),1,1,"")</f>
        <v>1</v>
      </c>
      <c r="AD563" s="80" t="str">
        <f>REPLACE(INDEX(GroupVertices[Group],MATCH("~"&amp;Edges[[#This Row],[Vertex 2]],GroupVertices[Vertex],0)),1,1,"")</f>
        <v>6</v>
      </c>
      <c r="AE563" s="105"/>
      <c r="AF563" s="105"/>
      <c r="AG563" s="105"/>
      <c r="AH563" s="105"/>
      <c r="AI563" s="105"/>
      <c r="AJ563" s="105"/>
      <c r="AK563" s="105"/>
      <c r="AL563" s="105"/>
      <c r="AM563" s="105"/>
    </row>
    <row r="564" spans="1:39" ht="15">
      <c r="A564" s="62" t="s">
        <v>267</v>
      </c>
      <c r="B564" s="62" t="s">
        <v>268</v>
      </c>
      <c r="C564" s="63" t="s">
        <v>3602</v>
      </c>
      <c r="D564" s="64">
        <v>5.526315789473684</v>
      </c>
      <c r="E564" s="65" t="s">
        <v>136</v>
      </c>
      <c r="F564" s="66">
        <v>31.0188679245283</v>
      </c>
      <c r="G564" s="63"/>
      <c r="H564" s="67"/>
      <c r="I564" s="68"/>
      <c r="J564" s="68"/>
      <c r="K564" s="31" t="s">
        <v>65</v>
      </c>
      <c r="L564" s="76">
        <v>564</v>
      </c>
      <c r="M564" s="76"/>
      <c r="N564" s="70"/>
      <c r="O564" s="78" t="s">
        <v>305</v>
      </c>
      <c r="P564" s="78" t="s">
        <v>393</v>
      </c>
      <c r="Q564" s="78" t="s">
        <v>803</v>
      </c>
      <c r="R564" s="78" t="s">
        <v>797</v>
      </c>
      <c r="S564" s="78"/>
      <c r="T564" s="78" t="s">
        <v>1648</v>
      </c>
      <c r="U564" s="78"/>
      <c r="V564" s="78" t="s">
        <v>1670</v>
      </c>
      <c r="W564" s="81" t="s">
        <v>1674</v>
      </c>
      <c r="X564" s="81" t="s">
        <v>1674</v>
      </c>
      <c r="Y564" s="78" t="s">
        <v>1689</v>
      </c>
      <c r="Z564" s="78" t="s">
        <v>1710</v>
      </c>
      <c r="AA564" s="81" t="s">
        <v>1674</v>
      </c>
      <c r="AB564" s="79">
        <v>3</v>
      </c>
      <c r="AC564" s="80" t="str">
        <f>REPLACE(INDEX(GroupVertices[Group],MATCH("~"&amp;Edges[[#This Row],[Vertex 1]],GroupVertices[Vertex],0)),1,1,"")</f>
        <v>1</v>
      </c>
      <c r="AD564" s="80" t="str">
        <f>REPLACE(INDEX(GroupVertices[Group],MATCH("~"&amp;Edges[[#This Row],[Vertex 2]],GroupVertices[Vertex],0)),1,1,"")</f>
        <v>6</v>
      </c>
      <c r="AE564" s="105"/>
      <c r="AF564" s="105"/>
      <c r="AG564" s="105"/>
      <c r="AH564" s="105"/>
      <c r="AI564" s="105"/>
      <c r="AJ564" s="105"/>
      <c r="AK564" s="105"/>
      <c r="AL564" s="105"/>
      <c r="AM564" s="105"/>
    </row>
    <row r="565" spans="1:39" ht="15">
      <c r="A565" s="62" t="s">
        <v>273</v>
      </c>
      <c r="B565" s="62" t="s">
        <v>268</v>
      </c>
      <c r="C565" s="63" t="s">
        <v>3598</v>
      </c>
      <c r="D565" s="64">
        <v>5.2631578947368425</v>
      </c>
      <c r="E565" s="65" t="s">
        <v>136</v>
      </c>
      <c r="F565" s="66">
        <v>31.50943396226415</v>
      </c>
      <c r="G565" s="63"/>
      <c r="H565" s="67"/>
      <c r="I565" s="68"/>
      <c r="J565" s="68"/>
      <c r="K565" s="31" t="s">
        <v>65</v>
      </c>
      <c r="L565" s="76">
        <v>565</v>
      </c>
      <c r="M565" s="76"/>
      <c r="N565" s="70"/>
      <c r="O565" s="78" t="s">
        <v>305</v>
      </c>
      <c r="P565" s="78" t="s">
        <v>491</v>
      </c>
      <c r="Q565" s="78" t="s">
        <v>981</v>
      </c>
      <c r="R565" s="78" t="s">
        <v>1466</v>
      </c>
      <c r="S565" s="78"/>
      <c r="T565" s="78"/>
      <c r="U565" s="78"/>
      <c r="V565" s="78"/>
      <c r="W565" s="81" t="s">
        <v>1674</v>
      </c>
      <c r="X565" s="81" t="s">
        <v>1674</v>
      </c>
      <c r="Y565" s="78"/>
      <c r="Z565" s="78"/>
      <c r="AA565" s="81" t="s">
        <v>1674</v>
      </c>
      <c r="AB565" s="79">
        <v>2</v>
      </c>
      <c r="AC565" s="80" t="str">
        <f>REPLACE(INDEX(GroupVertices[Group],MATCH("~"&amp;Edges[[#This Row],[Vertex 1]],GroupVertices[Vertex],0)),1,1,"")</f>
        <v>6</v>
      </c>
      <c r="AD565" s="80" t="str">
        <f>REPLACE(INDEX(GroupVertices[Group],MATCH("~"&amp;Edges[[#This Row],[Vertex 2]],GroupVertices[Vertex],0)),1,1,"")</f>
        <v>6</v>
      </c>
      <c r="AE565" s="105"/>
      <c r="AF565" s="105"/>
      <c r="AG565" s="105"/>
      <c r="AH565" s="105"/>
      <c r="AI565" s="105"/>
      <c r="AJ565" s="105"/>
      <c r="AK565" s="105"/>
      <c r="AL565" s="105"/>
      <c r="AM565" s="105"/>
    </row>
    <row r="566" spans="1:39" ht="15">
      <c r="A566" s="62" t="s">
        <v>273</v>
      </c>
      <c r="B566" s="62" t="s">
        <v>268</v>
      </c>
      <c r="C566" s="63" t="s">
        <v>3598</v>
      </c>
      <c r="D566" s="64">
        <v>5.2631578947368425</v>
      </c>
      <c r="E566" s="65" t="s">
        <v>136</v>
      </c>
      <c r="F566" s="66">
        <v>31.50943396226415</v>
      </c>
      <c r="G566" s="63"/>
      <c r="H566" s="67"/>
      <c r="I566" s="68"/>
      <c r="J566" s="68"/>
      <c r="K566" s="31" t="s">
        <v>65</v>
      </c>
      <c r="L566" s="76">
        <v>566</v>
      </c>
      <c r="M566" s="76"/>
      <c r="N566" s="70"/>
      <c r="O566" s="78" t="s">
        <v>305</v>
      </c>
      <c r="P566" s="78" t="s">
        <v>457</v>
      </c>
      <c r="Q566" s="78" t="s">
        <v>982</v>
      </c>
      <c r="R566" s="78" t="s">
        <v>970</v>
      </c>
      <c r="S566" s="78"/>
      <c r="T566" s="78"/>
      <c r="U566" s="78"/>
      <c r="V566" s="78"/>
      <c r="W566" s="81" t="s">
        <v>1674</v>
      </c>
      <c r="X566" s="81" t="s">
        <v>1674</v>
      </c>
      <c r="Y566" s="78"/>
      <c r="Z566" s="78"/>
      <c r="AA566" s="81" t="s">
        <v>1674</v>
      </c>
      <c r="AB566" s="79">
        <v>2</v>
      </c>
      <c r="AC566" s="80" t="str">
        <f>REPLACE(INDEX(GroupVertices[Group],MATCH("~"&amp;Edges[[#This Row],[Vertex 1]],GroupVertices[Vertex],0)),1,1,"")</f>
        <v>6</v>
      </c>
      <c r="AD566" s="80" t="str">
        <f>REPLACE(INDEX(GroupVertices[Group],MATCH("~"&amp;Edges[[#This Row],[Vertex 2]],GroupVertices[Vertex],0)),1,1,"")</f>
        <v>6</v>
      </c>
      <c r="AE566" s="105"/>
      <c r="AF566" s="105"/>
      <c r="AG566" s="105"/>
      <c r="AH566" s="105"/>
      <c r="AI566" s="105"/>
      <c r="AJ566" s="105"/>
      <c r="AK566" s="105"/>
      <c r="AL566" s="105"/>
      <c r="AM566" s="105"/>
    </row>
    <row r="567" spans="1:39" ht="15">
      <c r="A567" s="62" t="s">
        <v>283</v>
      </c>
      <c r="B567" s="62" t="s">
        <v>268</v>
      </c>
      <c r="C567" s="63" t="s">
        <v>3598</v>
      </c>
      <c r="D567" s="64">
        <v>5.2631578947368425</v>
      </c>
      <c r="E567" s="65" t="s">
        <v>136</v>
      </c>
      <c r="F567" s="66">
        <v>31.50943396226415</v>
      </c>
      <c r="G567" s="63"/>
      <c r="H567" s="67"/>
      <c r="I567" s="68"/>
      <c r="J567" s="68"/>
      <c r="K567" s="31" t="s">
        <v>65</v>
      </c>
      <c r="L567" s="76">
        <v>567</v>
      </c>
      <c r="M567" s="76"/>
      <c r="N567" s="70"/>
      <c r="O567" s="78" t="s">
        <v>305</v>
      </c>
      <c r="P567" s="78" t="s">
        <v>492</v>
      </c>
      <c r="Q567" s="78" t="s">
        <v>983</v>
      </c>
      <c r="R567" s="78" t="s">
        <v>1467</v>
      </c>
      <c r="S567" s="78"/>
      <c r="T567" s="78"/>
      <c r="U567" s="78"/>
      <c r="V567" s="78"/>
      <c r="W567" s="81" t="s">
        <v>1674</v>
      </c>
      <c r="X567" s="81" t="s">
        <v>1674</v>
      </c>
      <c r="Y567" s="78"/>
      <c r="Z567" s="78"/>
      <c r="AA567" s="81" t="s">
        <v>1674</v>
      </c>
      <c r="AB567" s="79">
        <v>2</v>
      </c>
      <c r="AC567" s="80" t="str">
        <f>REPLACE(INDEX(GroupVertices[Group],MATCH("~"&amp;Edges[[#This Row],[Vertex 1]],GroupVertices[Vertex],0)),1,1,"")</f>
        <v>6</v>
      </c>
      <c r="AD567" s="80" t="str">
        <f>REPLACE(INDEX(GroupVertices[Group],MATCH("~"&amp;Edges[[#This Row],[Vertex 2]],GroupVertices[Vertex],0)),1,1,"")</f>
        <v>6</v>
      </c>
      <c r="AE567" s="105"/>
      <c r="AF567" s="105"/>
      <c r="AG567" s="105"/>
      <c r="AH567" s="105"/>
      <c r="AI567" s="105"/>
      <c r="AJ567" s="105"/>
      <c r="AK567" s="105"/>
      <c r="AL567" s="105"/>
      <c r="AM567" s="105"/>
    </row>
    <row r="568" spans="1:39" ht="15">
      <c r="A568" s="62" t="s">
        <v>283</v>
      </c>
      <c r="B568" s="62" t="s">
        <v>268</v>
      </c>
      <c r="C568" s="63" t="s">
        <v>3598</v>
      </c>
      <c r="D568" s="64">
        <v>5.2631578947368425</v>
      </c>
      <c r="E568" s="65" t="s">
        <v>136</v>
      </c>
      <c r="F568" s="66">
        <v>31.50943396226415</v>
      </c>
      <c r="G568" s="63"/>
      <c r="H568" s="67"/>
      <c r="I568" s="68"/>
      <c r="J568" s="68"/>
      <c r="K568" s="31" t="s">
        <v>65</v>
      </c>
      <c r="L568" s="76">
        <v>568</v>
      </c>
      <c r="M568" s="76"/>
      <c r="N568" s="70"/>
      <c r="O568" s="78" t="s">
        <v>305</v>
      </c>
      <c r="P568" s="78" t="s">
        <v>493</v>
      </c>
      <c r="Q568" s="78" t="s">
        <v>984</v>
      </c>
      <c r="R568" s="78" t="s">
        <v>1468</v>
      </c>
      <c r="S568" s="78"/>
      <c r="T568" s="78"/>
      <c r="U568" s="78"/>
      <c r="V568" s="78"/>
      <c r="W568" s="81" t="s">
        <v>1674</v>
      </c>
      <c r="X568" s="81" t="s">
        <v>1674</v>
      </c>
      <c r="Y568" s="78"/>
      <c r="Z568" s="78"/>
      <c r="AA568" s="81" t="s">
        <v>1674</v>
      </c>
      <c r="AB568" s="79">
        <v>2</v>
      </c>
      <c r="AC568" s="80" t="str">
        <f>REPLACE(INDEX(GroupVertices[Group],MATCH("~"&amp;Edges[[#This Row],[Vertex 1]],GroupVertices[Vertex],0)),1,1,"")</f>
        <v>6</v>
      </c>
      <c r="AD568" s="80" t="str">
        <f>REPLACE(INDEX(GroupVertices[Group],MATCH("~"&amp;Edges[[#This Row],[Vertex 2]],GroupVertices[Vertex],0)),1,1,"")</f>
        <v>6</v>
      </c>
      <c r="AE568" s="105"/>
      <c r="AF568" s="105"/>
      <c r="AG568" s="105"/>
      <c r="AH568" s="105"/>
      <c r="AI568" s="105"/>
      <c r="AJ568" s="105"/>
      <c r="AK568" s="105"/>
      <c r="AL568" s="105"/>
      <c r="AM568" s="105"/>
    </row>
    <row r="569" spans="1:39" ht="15">
      <c r="A569" s="62" t="s">
        <v>284</v>
      </c>
      <c r="B569" s="62" t="s">
        <v>268</v>
      </c>
      <c r="C569" s="63" t="s">
        <v>3598</v>
      </c>
      <c r="D569" s="64">
        <v>5</v>
      </c>
      <c r="E569" s="65" t="s">
        <v>132</v>
      </c>
      <c r="F569" s="66">
        <v>32</v>
      </c>
      <c r="G569" s="63"/>
      <c r="H569" s="67"/>
      <c r="I569" s="68"/>
      <c r="J569" s="68"/>
      <c r="K569" s="31" t="s">
        <v>65</v>
      </c>
      <c r="L569" s="76">
        <v>569</v>
      </c>
      <c r="M569" s="76"/>
      <c r="N569" s="70"/>
      <c r="O569" s="78" t="s">
        <v>305</v>
      </c>
      <c r="P569" s="78" t="s">
        <v>493</v>
      </c>
      <c r="Q569" s="78" t="s">
        <v>985</v>
      </c>
      <c r="R569" s="78" t="s">
        <v>1468</v>
      </c>
      <c r="S569" s="78"/>
      <c r="T569" s="78"/>
      <c r="U569" s="78"/>
      <c r="V569" s="78"/>
      <c r="W569" s="81" t="s">
        <v>1674</v>
      </c>
      <c r="X569" s="81" t="s">
        <v>1674</v>
      </c>
      <c r="Y569" s="78"/>
      <c r="Z569" s="78"/>
      <c r="AA569" s="81" t="s">
        <v>1674</v>
      </c>
      <c r="AB569" s="79">
        <v>1</v>
      </c>
      <c r="AC569" s="80" t="str">
        <f>REPLACE(INDEX(GroupVertices[Group],MATCH("~"&amp;Edges[[#This Row],[Vertex 1]],GroupVertices[Vertex],0)),1,1,"")</f>
        <v>1</v>
      </c>
      <c r="AD569" s="80" t="str">
        <f>REPLACE(INDEX(GroupVertices[Group],MATCH("~"&amp;Edges[[#This Row],[Vertex 2]],GroupVertices[Vertex],0)),1,1,"")</f>
        <v>6</v>
      </c>
      <c r="AE569" s="105"/>
      <c r="AF569" s="105"/>
      <c r="AG569" s="105"/>
      <c r="AH569" s="105"/>
      <c r="AI569" s="105"/>
      <c r="AJ569" s="105"/>
      <c r="AK569" s="105"/>
      <c r="AL569" s="105"/>
      <c r="AM569" s="105"/>
    </row>
    <row r="570" spans="1:39" ht="15">
      <c r="A570" s="62" t="s">
        <v>255</v>
      </c>
      <c r="B570" s="62" t="s">
        <v>223</v>
      </c>
      <c r="C570" s="63" t="s">
        <v>3598</v>
      </c>
      <c r="D570" s="64">
        <v>5.2631578947368425</v>
      </c>
      <c r="E570" s="65" t="s">
        <v>136</v>
      </c>
      <c r="F570" s="66">
        <v>31.50943396226415</v>
      </c>
      <c r="G570" s="63"/>
      <c r="H570" s="67"/>
      <c r="I570" s="68"/>
      <c r="J570" s="68"/>
      <c r="K570" s="31" t="s">
        <v>65</v>
      </c>
      <c r="L570" s="76">
        <v>570</v>
      </c>
      <c r="M570" s="76"/>
      <c r="N570" s="70"/>
      <c r="O570" s="78" t="s">
        <v>305</v>
      </c>
      <c r="P570" s="78" t="s">
        <v>370</v>
      </c>
      <c r="Q570" s="78" t="s">
        <v>935</v>
      </c>
      <c r="R570" s="78" t="s">
        <v>927</v>
      </c>
      <c r="S570" s="78"/>
      <c r="T570" s="78"/>
      <c r="U570" s="78"/>
      <c r="V570" s="78"/>
      <c r="W570" s="81" t="s">
        <v>1674</v>
      </c>
      <c r="X570" s="81" t="s">
        <v>1674</v>
      </c>
      <c r="Y570" s="78"/>
      <c r="Z570" s="78"/>
      <c r="AA570" s="81" t="s">
        <v>1674</v>
      </c>
      <c r="AB570" s="79">
        <v>2</v>
      </c>
      <c r="AC570" s="80" t="str">
        <f>REPLACE(INDEX(GroupVertices[Group],MATCH("~"&amp;Edges[[#This Row],[Vertex 1]],GroupVertices[Vertex],0)),1,1,"")</f>
        <v>1</v>
      </c>
      <c r="AD570" s="80" t="str">
        <f>REPLACE(INDEX(GroupVertices[Group],MATCH("~"&amp;Edges[[#This Row],[Vertex 2]],GroupVertices[Vertex],0)),1,1,"")</f>
        <v>5</v>
      </c>
      <c r="AE570" s="105"/>
      <c r="AF570" s="105"/>
      <c r="AG570" s="105"/>
      <c r="AH570" s="105"/>
      <c r="AI570" s="105"/>
      <c r="AJ570" s="105"/>
      <c r="AK570" s="105"/>
      <c r="AL570" s="105"/>
      <c r="AM570" s="105"/>
    </row>
    <row r="571" spans="1:39" ht="15">
      <c r="A571" s="62" t="s">
        <v>255</v>
      </c>
      <c r="B571" s="62" t="s">
        <v>223</v>
      </c>
      <c r="C571" s="63" t="s">
        <v>3598</v>
      </c>
      <c r="D571" s="64">
        <v>5.2631578947368425</v>
      </c>
      <c r="E571" s="65" t="s">
        <v>136</v>
      </c>
      <c r="F571" s="66">
        <v>31.50943396226415</v>
      </c>
      <c r="G571" s="63"/>
      <c r="H571" s="67"/>
      <c r="I571" s="68"/>
      <c r="J571" s="68"/>
      <c r="K571" s="31" t="s">
        <v>65</v>
      </c>
      <c r="L571" s="76">
        <v>571</v>
      </c>
      <c r="M571" s="76"/>
      <c r="N571" s="70"/>
      <c r="O571" s="78" t="s">
        <v>305</v>
      </c>
      <c r="P571" s="78" t="s">
        <v>370</v>
      </c>
      <c r="Q571" s="78" t="s">
        <v>935</v>
      </c>
      <c r="R571" s="78" t="s">
        <v>928</v>
      </c>
      <c r="S571" s="78"/>
      <c r="T571" s="78"/>
      <c r="U571" s="78"/>
      <c r="V571" s="78"/>
      <c r="W571" s="81" t="s">
        <v>1674</v>
      </c>
      <c r="X571" s="81" t="s">
        <v>1674</v>
      </c>
      <c r="Y571" s="78"/>
      <c r="Z571" s="78"/>
      <c r="AA571" s="81" t="s">
        <v>1674</v>
      </c>
      <c r="AB571" s="79">
        <v>2</v>
      </c>
      <c r="AC571" s="80" t="str">
        <f>REPLACE(INDEX(GroupVertices[Group],MATCH("~"&amp;Edges[[#This Row],[Vertex 1]],GroupVertices[Vertex],0)),1,1,"")</f>
        <v>1</v>
      </c>
      <c r="AD571" s="80" t="str">
        <f>REPLACE(INDEX(GroupVertices[Group],MATCH("~"&amp;Edges[[#This Row],[Vertex 2]],GroupVertices[Vertex],0)),1,1,"")</f>
        <v>5</v>
      </c>
      <c r="AE571" s="105"/>
      <c r="AF571" s="105"/>
      <c r="AG571" s="105"/>
      <c r="AH571" s="105"/>
      <c r="AI571" s="105"/>
      <c r="AJ571" s="105"/>
      <c r="AK571" s="105"/>
      <c r="AL571" s="105"/>
      <c r="AM571" s="105"/>
    </row>
    <row r="572" spans="1:39" ht="15">
      <c r="A572" s="62" t="s">
        <v>255</v>
      </c>
      <c r="B572" s="62" t="s">
        <v>251</v>
      </c>
      <c r="C572" s="63" t="s">
        <v>3598</v>
      </c>
      <c r="D572" s="64">
        <v>5.2631578947368425</v>
      </c>
      <c r="E572" s="65" t="s">
        <v>136</v>
      </c>
      <c r="F572" s="66">
        <v>31.50943396226415</v>
      </c>
      <c r="G572" s="63"/>
      <c r="H572" s="67"/>
      <c r="I572" s="68"/>
      <c r="J572" s="68"/>
      <c r="K572" s="31" t="s">
        <v>65</v>
      </c>
      <c r="L572" s="76">
        <v>572</v>
      </c>
      <c r="M572" s="76"/>
      <c r="N572" s="70"/>
      <c r="O572" s="78" t="s">
        <v>305</v>
      </c>
      <c r="P572" s="78" t="s">
        <v>355</v>
      </c>
      <c r="Q572" s="78" t="s">
        <v>731</v>
      </c>
      <c r="R572" s="78" t="s">
        <v>711</v>
      </c>
      <c r="S572" s="78"/>
      <c r="T572" s="78"/>
      <c r="U572" s="78"/>
      <c r="V572" s="78"/>
      <c r="W572" s="81" t="s">
        <v>1674</v>
      </c>
      <c r="X572" s="81" t="s">
        <v>1674</v>
      </c>
      <c r="Y572" s="78"/>
      <c r="Z572" s="78"/>
      <c r="AA572" s="81" t="s">
        <v>1674</v>
      </c>
      <c r="AB572" s="79">
        <v>2</v>
      </c>
      <c r="AC572" s="80" t="str">
        <f>REPLACE(INDEX(GroupVertices[Group],MATCH("~"&amp;Edges[[#This Row],[Vertex 1]],GroupVertices[Vertex],0)),1,1,"")</f>
        <v>1</v>
      </c>
      <c r="AD572" s="80" t="str">
        <f>REPLACE(INDEX(GroupVertices[Group],MATCH("~"&amp;Edges[[#This Row],[Vertex 2]],GroupVertices[Vertex],0)),1,1,"")</f>
        <v>3</v>
      </c>
      <c r="AE572" s="105"/>
      <c r="AF572" s="105"/>
      <c r="AG572" s="105"/>
      <c r="AH572" s="105"/>
      <c r="AI572" s="105"/>
      <c r="AJ572" s="105"/>
      <c r="AK572" s="105"/>
      <c r="AL572" s="105"/>
      <c r="AM572" s="105"/>
    </row>
    <row r="573" spans="1:39" ht="15">
      <c r="A573" s="62" t="s">
        <v>255</v>
      </c>
      <c r="B573" s="62" t="s">
        <v>251</v>
      </c>
      <c r="C573" s="63" t="s">
        <v>3598</v>
      </c>
      <c r="D573" s="64">
        <v>5.2631578947368425</v>
      </c>
      <c r="E573" s="65" t="s">
        <v>136</v>
      </c>
      <c r="F573" s="66">
        <v>31.50943396226415</v>
      </c>
      <c r="G573" s="63"/>
      <c r="H573" s="67"/>
      <c r="I573" s="68"/>
      <c r="J573" s="68"/>
      <c r="K573" s="31" t="s">
        <v>65</v>
      </c>
      <c r="L573" s="76">
        <v>573</v>
      </c>
      <c r="M573" s="76"/>
      <c r="N573" s="70"/>
      <c r="O573" s="78" t="s">
        <v>305</v>
      </c>
      <c r="P573" s="78" t="s">
        <v>355</v>
      </c>
      <c r="Q573" s="78" t="s">
        <v>731</v>
      </c>
      <c r="R573" s="78" t="s">
        <v>711</v>
      </c>
      <c r="S573" s="78"/>
      <c r="T573" s="78"/>
      <c r="U573" s="78"/>
      <c r="V573" s="78"/>
      <c r="W573" s="81" t="s">
        <v>1674</v>
      </c>
      <c r="X573" s="81" t="s">
        <v>1674</v>
      </c>
      <c r="Y573" s="78"/>
      <c r="Z573" s="78"/>
      <c r="AA573" s="81" t="s">
        <v>1674</v>
      </c>
      <c r="AB573" s="79">
        <v>2</v>
      </c>
      <c r="AC573" s="80" t="str">
        <f>REPLACE(INDEX(GroupVertices[Group],MATCH("~"&amp;Edges[[#This Row],[Vertex 1]],GroupVertices[Vertex],0)),1,1,"")</f>
        <v>1</v>
      </c>
      <c r="AD573" s="80" t="str">
        <f>REPLACE(INDEX(GroupVertices[Group],MATCH("~"&amp;Edges[[#This Row],[Vertex 2]],GroupVertices[Vertex],0)),1,1,"")</f>
        <v>3</v>
      </c>
      <c r="AE573" s="105"/>
      <c r="AF573" s="105"/>
      <c r="AG573" s="105"/>
      <c r="AH573" s="105"/>
      <c r="AI573" s="105"/>
      <c r="AJ573" s="105"/>
      <c r="AK573" s="105"/>
      <c r="AL573" s="105"/>
      <c r="AM573" s="105"/>
    </row>
    <row r="574" spans="1:39" ht="15">
      <c r="A574" s="62" t="s">
        <v>255</v>
      </c>
      <c r="B574" s="62" t="s">
        <v>253</v>
      </c>
      <c r="C574" s="63" t="s">
        <v>3603</v>
      </c>
      <c r="D574" s="64">
        <v>5.7894736842105265</v>
      </c>
      <c r="E574" s="65" t="s">
        <v>136</v>
      </c>
      <c r="F574" s="66">
        <v>30.528301886792452</v>
      </c>
      <c r="G574" s="63"/>
      <c r="H574" s="67"/>
      <c r="I574" s="68"/>
      <c r="J574" s="68"/>
      <c r="K574" s="31" t="s">
        <v>65</v>
      </c>
      <c r="L574" s="76">
        <v>574</v>
      </c>
      <c r="M574" s="76"/>
      <c r="N574" s="70"/>
      <c r="O574" s="78" t="s">
        <v>305</v>
      </c>
      <c r="P574" s="78" t="s">
        <v>494</v>
      </c>
      <c r="Q574" s="78" t="s">
        <v>986</v>
      </c>
      <c r="R574" s="78" t="s">
        <v>1469</v>
      </c>
      <c r="S574" s="78"/>
      <c r="T574" s="78"/>
      <c r="U574" s="78"/>
      <c r="V574" s="78"/>
      <c r="W574" s="81" t="s">
        <v>1674</v>
      </c>
      <c r="X574" s="81" t="s">
        <v>1674</v>
      </c>
      <c r="Y574" s="78"/>
      <c r="Z574" s="78"/>
      <c r="AA574" s="81" t="s">
        <v>1674</v>
      </c>
      <c r="AB574" s="79">
        <v>4</v>
      </c>
      <c r="AC574" s="80" t="str">
        <f>REPLACE(INDEX(GroupVertices[Group],MATCH("~"&amp;Edges[[#This Row],[Vertex 1]],GroupVertices[Vertex],0)),1,1,"")</f>
        <v>1</v>
      </c>
      <c r="AD574" s="80" t="str">
        <f>REPLACE(INDEX(GroupVertices[Group],MATCH("~"&amp;Edges[[#This Row],[Vertex 2]],GroupVertices[Vertex],0)),1,1,"")</f>
        <v>1</v>
      </c>
      <c r="AE574" s="105"/>
      <c r="AF574" s="105"/>
      <c r="AG574" s="105"/>
      <c r="AH574" s="105"/>
      <c r="AI574" s="105"/>
      <c r="AJ574" s="105"/>
      <c r="AK574" s="105"/>
      <c r="AL574" s="105"/>
      <c r="AM574" s="105"/>
    </row>
    <row r="575" spans="1:39" ht="15">
      <c r="A575" s="62" t="s">
        <v>255</v>
      </c>
      <c r="B575" s="62" t="s">
        <v>253</v>
      </c>
      <c r="C575" s="63" t="s">
        <v>3603</v>
      </c>
      <c r="D575" s="64">
        <v>5.7894736842105265</v>
      </c>
      <c r="E575" s="65" t="s">
        <v>136</v>
      </c>
      <c r="F575" s="66">
        <v>30.528301886792452</v>
      </c>
      <c r="G575" s="63"/>
      <c r="H575" s="67"/>
      <c r="I575" s="68"/>
      <c r="J575" s="68"/>
      <c r="K575" s="31" t="s">
        <v>65</v>
      </c>
      <c r="L575" s="76">
        <v>575</v>
      </c>
      <c r="M575" s="76"/>
      <c r="N575" s="70"/>
      <c r="O575" s="78" t="s">
        <v>305</v>
      </c>
      <c r="P575" s="78" t="s">
        <v>355</v>
      </c>
      <c r="Q575" s="78" t="s">
        <v>731</v>
      </c>
      <c r="R575" s="78" t="s">
        <v>719</v>
      </c>
      <c r="S575" s="78"/>
      <c r="T575" s="78"/>
      <c r="U575" s="78"/>
      <c r="V575" s="78"/>
      <c r="W575" s="81" t="s">
        <v>1674</v>
      </c>
      <c r="X575" s="81" t="s">
        <v>1674</v>
      </c>
      <c r="Y575" s="78"/>
      <c r="Z575" s="78"/>
      <c r="AA575" s="81" t="s">
        <v>1674</v>
      </c>
      <c r="AB575" s="79">
        <v>4</v>
      </c>
      <c r="AC575" s="80" t="str">
        <f>REPLACE(INDEX(GroupVertices[Group],MATCH("~"&amp;Edges[[#This Row],[Vertex 1]],GroupVertices[Vertex],0)),1,1,"")</f>
        <v>1</v>
      </c>
      <c r="AD575" s="80" t="str">
        <f>REPLACE(INDEX(GroupVertices[Group],MATCH("~"&amp;Edges[[#This Row],[Vertex 2]],GroupVertices[Vertex],0)),1,1,"")</f>
        <v>1</v>
      </c>
      <c r="AE575" s="105"/>
      <c r="AF575" s="105"/>
      <c r="AG575" s="105"/>
      <c r="AH575" s="105"/>
      <c r="AI575" s="105"/>
      <c r="AJ575" s="105"/>
      <c r="AK575" s="105"/>
      <c r="AL575" s="105"/>
      <c r="AM575" s="105"/>
    </row>
    <row r="576" spans="1:39" ht="15">
      <c r="A576" s="62" t="s">
        <v>255</v>
      </c>
      <c r="B576" s="62" t="s">
        <v>253</v>
      </c>
      <c r="C576" s="63" t="s">
        <v>3603</v>
      </c>
      <c r="D576" s="64">
        <v>5.7894736842105265</v>
      </c>
      <c r="E576" s="65" t="s">
        <v>136</v>
      </c>
      <c r="F576" s="66">
        <v>30.528301886792452</v>
      </c>
      <c r="G576" s="63"/>
      <c r="H576" s="67"/>
      <c r="I576" s="68"/>
      <c r="J576" s="68"/>
      <c r="K576" s="31" t="s">
        <v>65</v>
      </c>
      <c r="L576" s="76">
        <v>576</v>
      </c>
      <c r="M576" s="76"/>
      <c r="N576" s="70"/>
      <c r="O576" s="78" t="s">
        <v>305</v>
      </c>
      <c r="P576" s="78" t="s">
        <v>355</v>
      </c>
      <c r="Q576" s="78" t="s">
        <v>731</v>
      </c>
      <c r="R576" s="78" t="s">
        <v>720</v>
      </c>
      <c r="S576" s="78"/>
      <c r="T576" s="78"/>
      <c r="U576" s="78"/>
      <c r="V576" s="78"/>
      <c r="W576" s="81" t="s">
        <v>1674</v>
      </c>
      <c r="X576" s="81" t="s">
        <v>1674</v>
      </c>
      <c r="Y576" s="78"/>
      <c r="Z576" s="78"/>
      <c r="AA576" s="81" t="s">
        <v>1674</v>
      </c>
      <c r="AB576" s="79">
        <v>4</v>
      </c>
      <c r="AC576" s="80" t="str">
        <f>REPLACE(INDEX(GroupVertices[Group],MATCH("~"&amp;Edges[[#This Row],[Vertex 1]],GroupVertices[Vertex],0)),1,1,"")</f>
        <v>1</v>
      </c>
      <c r="AD576" s="80" t="str">
        <f>REPLACE(INDEX(GroupVertices[Group],MATCH("~"&amp;Edges[[#This Row],[Vertex 2]],GroupVertices[Vertex],0)),1,1,"")</f>
        <v>1</v>
      </c>
      <c r="AE576" s="105"/>
      <c r="AF576" s="105"/>
      <c r="AG576" s="105"/>
      <c r="AH576" s="105"/>
      <c r="AI576" s="105"/>
      <c r="AJ576" s="105"/>
      <c r="AK576" s="105"/>
      <c r="AL576" s="105"/>
      <c r="AM576" s="105"/>
    </row>
    <row r="577" spans="1:39" ht="15">
      <c r="A577" s="62" t="s">
        <v>255</v>
      </c>
      <c r="B577" s="62" t="s">
        <v>253</v>
      </c>
      <c r="C577" s="63" t="s">
        <v>3603</v>
      </c>
      <c r="D577" s="64">
        <v>5.7894736842105265</v>
      </c>
      <c r="E577" s="65" t="s">
        <v>136</v>
      </c>
      <c r="F577" s="66">
        <v>30.528301886792452</v>
      </c>
      <c r="G577" s="63"/>
      <c r="H577" s="67"/>
      <c r="I577" s="68"/>
      <c r="J577" s="68"/>
      <c r="K577" s="31" t="s">
        <v>65</v>
      </c>
      <c r="L577" s="76">
        <v>577</v>
      </c>
      <c r="M577" s="76"/>
      <c r="N577" s="70"/>
      <c r="O577" s="78" t="s">
        <v>305</v>
      </c>
      <c r="P577" s="78" t="s">
        <v>355</v>
      </c>
      <c r="Q577" s="78" t="s">
        <v>731</v>
      </c>
      <c r="R577" s="78" t="s">
        <v>721</v>
      </c>
      <c r="S577" s="78"/>
      <c r="T577" s="78"/>
      <c r="U577" s="78"/>
      <c r="V577" s="78"/>
      <c r="W577" s="81" t="s">
        <v>1674</v>
      </c>
      <c r="X577" s="81" t="s">
        <v>1674</v>
      </c>
      <c r="Y577" s="78"/>
      <c r="Z577" s="78"/>
      <c r="AA577" s="81" t="s">
        <v>1674</v>
      </c>
      <c r="AB577" s="79">
        <v>4</v>
      </c>
      <c r="AC577" s="80" t="str">
        <f>REPLACE(INDEX(GroupVertices[Group],MATCH("~"&amp;Edges[[#This Row],[Vertex 1]],GroupVertices[Vertex],0)),1,1,"")</f>
        <v>1</v>
      </c>
      <c r="AD577" s="80" t="str">
        <f>REPLACE(INDEX(GroupVertices[Group],MATCH("~"&amp;Edges[[#This Row],[Vertex 2]],GroupVertices[Vertex],0)),1,1,"")</f>
        <v>1</v>
      </c>
      <c r="AE577" s="105"/>
      <c r="AF577" s="105"/>
      <c r="AG577" s="105"/>
      <c r="AH577" s="105"/>
      <c r="AI577" s="105"/>
      <c r="AJ577" s="105"/>
      <c r="AK577" s="105"/>
      <c r="AL577" s="105"/>
      <c r="AM577" s="105"/>
    </row>
    <row r="578" spans="1:39" ht="15">
      <c r="A578" s="62" t="s">
        <v>255</v>
      </c>
      <c r="B578" s="62" t="s">
        <v>245</v>
      </c>
      <c r="C578" s="63" t="s">
        <v>3597</v>
      </c>
      <c r="D578" s="64">
        <v>6.578947368421053</v>
      </c>
      <c r="E578" s="65" t="s">
        <v>136</v>
      </c>
      <c r="F578" s="66">
        <v>29.056603773584907</v>
      </c>
      <c r="G578" s="63"/>
      <c r="H578" s="67"/>
      <c r="I578" s="68"/>
      <c r="J578" s="68"/>
      <c r="K578" s="31" t="s">
        <v>65</v>
      </c>
      <c r="L578" s="76">
        <v>578</v>
      </c>
      <c r="M578" s="76"/>
      <c r="N578" s="70"/>
      <c r="O578" s="78" t="s">
        <v>305</v>
      </c>
      <c r="P578" s="78" t="s">
        <v>495</v>
      </c>
      <c r="Q578" s="78" t="s">
        <v>987</v>
      </c>
      <c r="R578" s="78" t="s">
        <v>1470</v>
      </c>
      <c r="S578" s="78"/>
      <c r="T578" s="78"/>
      <c r="U578" s="78"/>
      <c r="V578" s="78"/>
      <c r="W578" s="81" t="s">
        <v>1674</v>
      </c>
      <c r="X578" s="81" t="s">
        <v>1674</v>
      </c>
      <c r="Y578" s="78"/>
      <c r="Z578" s="78"/>
      <c r="AA578" s="81" t="s">
        <v>1674</v>
      </c>
      <c r="AB578" s="79">
        <v>7</v>
      </c>
      <c r="AC578" s="80" t="str">
        <f>REPLACE(INDEX(GroupVertices[Group],MATCH("~"&amp;Edges[[#This Row],[Vertex 1]],GroupVertices[Vertex],0)),1,1,"")</f>
        <v>1</v>
      </c>
      <c r="AD578" s="80" t="str">
        <f>REPLACE(INDEX(GroupVertices[Group],MATCH("~"&amp;Edges[[#This Row],[Vertex 2]],GroupVertices[Vertex],0)),1,1,"")</f>
        <v>1</v>
      </c>
      <c r="AE578" s="105"/>
      <c r="AF578" s="105"/>
      <c r="AG578" s="105"/>
      <c r="AH578" s="105"/>
      <c r="AI578" s="105"/>
      <c r="AJ578" s="105"/>
      <c r="AK578" s="105"/>
      <c r="AL578" s="105"/>
      <c r="AM578" s="105"/>
    </row>
    <row r="579" spans="1:39" ht="15">
      <c r="A579" s="62" t="s">
        <v>255</v>
      </c>
      <c r="B579" s="62" t="s">
        <v>245</v>
      </c>
      <c r="C579" s="63" t="s">
        <v>3597</v>
      </c>
      <c r="D579" s="64">
        <v>6.578947368421053</v>
      </c>
      <c r="E579" s="65" t="s">
        <v>136</v>
      </c>
      <c r="F579" s="66">
        <v>29.056603773584907</v>
      </c>
      <c r="G579" s="63"/>
      <c r="H579" s="67"/>
      <c r="I579" s="68"/>
      <c r="J579" s="68"/>
      <c r="K579" s="31" t="s">
        <v>65</v>
      </c>
      <c r="L579" s="76">
        <v>579</v>
      </c>
      <c r="M579" s="76"/>
      <c r="N579" s="70"/>
      <c r="O579" s="78" t="s">
        <v>305</v>
      </c>
      <c r="P579" s="78" t="s">
        <v>495</v>
      </c>
      <c r="Q579" s="78" t="s">
        <v>988</v>
      </c>
      <c r="R579" s="78" t="s">
        <v>1470</v>
      </c>
      <c r="S579" s="78"/>
      <c r="T579" s="78"/>
      <c r="U579" s="78"/>
      <c r="V579" s="78"/>
      <c r="W579" s="81" t="s">
        <v>1674</v>
      </c>
      <c r="X579" s="81" t="s">
        <v>1674</v>
      </c>
      <c r="Y579" s="78"/>
      <c r="Z579" s="78"/>
      <c r="AA579" s="81" t="s">
        <v>1674</v>
      </c>
      <c r="AB579" s="79">
        <v>7</v>
      </c>
      <c r="AC579" s="80" t="str">
        <f>REPLACE(INDEX(GroupVertices[Group],MATCH("~"&amp;Edges[[#This Row],[Vertex 1]],GroupVertices[Vertex],0)),1,1,"")</f>
        <v>1</v>
      </c>
      <c r="AD579" s="80" t="str">
        <f>REPLACE(INDEX(GroupVertices[Group],MATCH("~"&amp;Edges[[#This Row],[Vertex 2]],GroupVertices[Vertex],0)),1,1,"")</f>
        <v>1</v>
      </c>
      <c r="AE579" s="105"/>
      <c r="AF579" s="105"/>
      <c r="AG579" s="105"/>
      <c r="AH579" s="105"/>
      <c r="AI579" s="105"/>
      <c r="AJ579" s="105"/>
      <c r="AK579" s="105"/>
      <c r="AL579" s="105"/>
      <c r="AM579" s="105"/>
    </row>
    <row r="580" spans="1:39" ht="15">
      <c r="A580" s="62" t="s">
        <v>255</v>
      </c>
      <c r="B580" s="62" t="s">
        <v>245</v>
      </c>
      <c r="C580" s="63" t="s">
        <v>3597</v>
      </c>
      <c r="D580" s="64">
        <v>6.578947368421053</v>
      </c>
      <c r="E580" s="65" t="s">
        <v>136</v>
      </c>
      <c r="F580" s="66">
        <v>29.056603773584907</v>
      </c>
      <c r="G580" s="63"/>
      <c r="H580" s="67"/>
      <c r="I580" s="68"/>
      <c r="J580" s="68"/>
      <c r="K580" s="31" t="s">
        <v>65</v>
      </c>
      <c r="L580" s="76">
        <v>580</v>
      </c>
      <c r="M580" s="76"/>
      <c r="N580" s="70"/>
      <c r="O580" s="78" t="s">
        <v>305</v>
      </c>
      <c r="P580" s="78" t="s">
        <v>495</v>
      </c>
      <c r="Q580" s="78" t="s">
        <v>988</v>
      </c>
      <c r="R580" s="78" t="s">
        <v>1470</v>
      </c>
      <c r="S580" s="78"/>
      <c r="T580" s="78"/>
      <c r="U580" s="78"/>
      <c r="V580" s="78"/>
      <c r="W580" s="81" t="s">
        <v>1674</v>
      </c>
      <c r="X580" s="81" t="s">
        <v>1674</v>
      </c>
      <c r="Y580" s="78"/>
      <c r="Z580" s="78"/>
      <c r="AA580" s="81" t="s">
        <v>1674</v>
      </c>
      <c r="AB580" s="79">
        <v>7</v>
      </c>
      <c r="AC580" s="80" t="str">
        <f>REPLACE(INDEX(GroupVertices[Group],MATCH("~"&amp;Edges[[#This Row],[Vertex 1]],GroupVertices[Vertex],0)),1,1,"")</f>
        <v>1</v>
      </c>
      <c r="AD580" s="80" t="str">
        <f>REPLACE(INDEX(GroupVertices[Group],MATCH("~"&amp;Edges[[#This Row],[Vertex 2]],GroupVertices[Vertex],0)),1,1,"")</f>
        <v>1</v>
      </c>
      <c r="AE580" s="105"/>
      <c r="AF580" s="105"/>
      <c r="AG580" s="105"/>
      <c r="AH580" s="105"/>
      <c r="AI580" s="105"/>
      <c r="AJ580" s="105"/>
      <c r="AK580" s="105"/>
      <c r="AL580" s="105"/>
      <c r="AM580" s="105"/>
    </row>
    <row r="581" spans="1:39" ht="15">
      <c r="A581" s="62" t="s">
        <v>255</v>
      </c>
      <c r="B581" s="62" t="s">
        <v>245</v>
      </c>
      <c r="C581" s="63" t="s">
        <v>3597</v>
      </c>
      <c r="D581" s="64">
        <v>6.578947368421053</v>
      </c>
      <c r="E581" s="65" t="s">
        <v>136</v>
      </c>
      <c r="F581" s="66">
        <v>29.056603773584907</v>
      </c>
      <c r="G581" s="63"/>
      <c r="H581" s="67"/>
      <c r="I581" s="68"/>
      <c r="J581" s="68"/>
      <c r="K581" s="31" t="s">
        <v>65</v>
      </c>
      <c r="L581" s="76">
        <v>581</v>
      </c>
      <c r="M581" s="76"/>
      <c r="N581" s="70"/>
      <c r="O581" s="78" t="s">
        <v>305</v>
      </c>
      <c r="P581" s="78" t="s">
        <v>496</v>
      </c>
      <c r="Q581" s="78" t="s">
        <v>989</v>
      </c>
      <c r="R581" s="78" t="s">
        <v>1471</v>
      </c>
      <c r="S581" s="78"/>
      <c r="T581" s="78"/>
      <c r="U581" s="78"/>
      <c r="V581" s="78"/>
      <c r="W581" s="81" t="s">
        <v>1674</v>
      </c>
      <c r="X581" s="81" t="s">
        <v>1674</v>
      </c>
      <c r="Y581" s="78"/>
      <c r="Z581" s="78"/>
      <c r="AA581" s="81" t="s">
        <v>1674</v>
      </c>
      <c r="AB581" s="79">
        <v>7</v>
      </c>
      <c r="AC581" s="80" t="str">
        <f>REPLACE(INDEX(GroupVertices[Group],MATCH("~"&amp;Edges[[#This Row],[Vertex 1]],GroupVertices[Vertex],0)),1,1,"")</f>
        <v>1</v>
      </c>
      <c r="AD581" s="80" t="str">
        <f>REPLACE(INDEX(GroupVertices[Group],MATCH("~"&amp;Edges[[#This Row],[Vertex 2]],GroupVertices[Vertex],0)),1,1,"")</f>
        <v>1</v>
      </c>
      <c r="AE581" s="105"/>
      <c r="AF581" s="105"/>
      <c r="AG581" s="105"/>
      <c r="AH581" s="105"/>
      <c r="AI581" s="105"/>
      <c r="AJ581" s="105"/>
      <c r="AK581" s="105"/>
      <c r="AL581" s="105"/>
      <c r="AM581" s="105"/>
    </row>
    <row r="582" spans="1:39" ht="15">
      <c r="A582" s="62" t="s">
        <v>255</v>
      </c>
      <c r="B582" s="62" t="s">
        <v>245</v>
      </c>
      <c r="C582" s="63" t="s">
        <v>3597</v>
      </c>
      <c r="D582" s="64">
        <v>6.578947368421053</v>
      </c>
      <c r="E582" s="65" t="s">
        <v>136</v>
      </c>
      <c r="F582" s="66">
        <v>29.056603773584907</v>
      </c>
      <c r="G582" s="63"/>
      <c r="H582" s="67"/>
      <c r="I582" s="68"/>
      <c r="J582" s="68"/>
      <c r="K582" s="31" t="s">
        <v>65</v>
      </c>
      <c r="L582" s="76">
        <v>582</v>
      </c>
      <c r="M582" s="76"/>
      <c r="N582" s="70"/>
      <c r="O582" s="78" t="s">
        <v>305</v>
      </c>
      <c r="P582" s="78" t="s">
        <v>497</v>
      </c>
      <c r="Q582" s="78" t="s">
        <v>990</v>
      </c>
      <c r="R582" s="78" t="s">
        <v>1472</v>
      </c>
      <c r="S582" s="78"/>
      <c r="T582" s="78"/>
      <c r="U582" s="78"/>
      <c r="V582" s="78"/>
      <c r="W582" s="81" t="s">
        <v>1674</v>
      </c>
      <c r="X582" s="81" t="s">
        <v>1674</v>
      </c>
      <c r="Y582" s="78"/>
      <c r="Z582" s="78"/>
      <c r="AA582" s="81" t="s">
        <v>1674</v>
      </c>
      <c r="AB582" s="79">
        <v>7</v>
      </c>
      <c r="AC582" s="80" t="str">
        <f>REPLACE(INDEX(GroupVertices[Group],MATCH("~"&amp;Edges[[#This Row],[Vertex 1]],GroupVertices[Vertex],0)),1,1,"")</f>
        <v>1</v>
      </c>
      <c r="AD582" s="80" t="str">
        <f>REPLACE(INDEX(GroupVertices[Group],MATCH("~"&amp;Edges[[#This Row],[Vertex 2]],GroupVertices[Vertex],0)),1,1,"")</f>
        <v>1</v>
      </c>
      <c r="AE582" s="105"/>
      <c r="AF582" s="105"/>
      <c r="AG582" s="105"/>
      <c r="AH582" s="105"/>
      <c r="AI582" s="105"/>
      <c r="AJ582" s="105"/>
      <c r="AK582" s="105"/>
      <c r="AL582" s="105"/>
      <c r="AM582" s="105"/>
    </row>
    <row r="583" spans="1:39" ht="15">
      <c r="A583" s="62" t="s">
        <v>255</v>
      </c>
      <c r="B583" s="62" t="s">
        <v>245</v>
      </c>
      <c r="C583" s="63" t="s">
        <v>3597</v>
      </c>
      <c r="D583" s="64">
        <v>6.578947368421053</v>
      </c>
      <c r="E583" s="65" t="s">
        <v>136</v>
      </c>
      <c r="F583" s="66">
        <v>29.056603773584907</v>
      </c>
      <c r="G583" s="63"/>
      <c r="H583" s="67"/>
      <c r="I583" s="68"/>
      <c r="J583" s="68"/>
      <c r="K583" s="31" t="s">
        <v>65</v>
      </c>
      <c r="L583" s="76">
        <v>583</v>
      </c>
      <c r="M583" s="76"/>
      <c r="N583" s="70"/>
      <c r="O583" s="78" t="s">
        <v>305</v>
      </c>
      <c r="P583" s="78" t="s">
        <v>498</v>
      </c>
      <c r="Q583" s="78" t="s">
        <v>991</v>
      </c>
      <c r="R583" s="78" t="s">
        <v>1473</v>
      </c>
      <c r="S583" s="78"/>
      <c r="T583" s="78"/>
      <c r="U583" s="78"/>
      <c r="V583" s="78"/>
      <c r="W583" s="81" t="s">
        <v>1674</v>
      </c>
      <c r="X583" s="81" t="s">
        <v>1674</v>
      </c>
      <c r="Y583" s="78"/>
      <c r="Z583" s="78"/>
      <c r="AA583" s="81" t="s">
        <v>1674</v>
      </c>
      <c r="AB583" s="79">
        <v>7</v>
      </c>
      <c r="AC583" s="80" t="str">
        <f>REPLACE(INDEX(GroupVertices[Group],MATCH("~"&amp;Edges[[#This Row],[Vertex 1]],GroupVertices[Vertex],0)),1,1,"")</f>
        <v>1</v>
      </c>
      <c r="AD583" s="80" t="str">
        <f>REPLACE(INDEX(GroupVertices[Group],MATCH("~"&amp;Edges[[#This Row],[Vertex 2]],GroupVertices[Vertex],0)),1,1,"")</f>
        <v>1</v>
      </c>
      <c r="AE583" s="105"/>
      <c r="AF583" s="105"/>
      <c r="AG583" s="105"/>
      <c r="AH583" s="105"/>
      <c r="AI583" s="105"/>
      <c r="AJ583" s="105"/>
      <c r="AK583" s="105"/>
      <c r="AL583" s="105"/>
      <c r="AM583" s="105"/>
    </row>
    <row r="584" spans="1:39" ht="15">
      <c r="A584" s="62" t="s">
        <v>255</v>
      </c>
      <c r="B584" s="62" t="s">
        <v>245</v>
      </c>
      <c r="C584" s="63" t="s">
        <v>3597</v>
      </c>
      <c r="D584" s="64">
        <v>6.578947368421053</v>
      </c>
      <c r="E584" s="65" t="s">
        <v>136</v>
      </c>
      <c r="F584" s="66">
        <v>29.056603773584907</v>
      </c>
      <c r="G584" s="63"/>
      <c r="H584" s="67"/>
      <c r="I584" s="68"/>
      <c r="J584" s="68"/>
      <c r="K584" s="31" t="s">
        <v>65</v>
      </c>
      <c r="L584" s="76">
        <v>584</v>
      </c>
      <c r="M584" s="76"/>
      <c r="N584" s="70"/>
      <c r="O584" s="78" t="s">
        <v>305</v>
      </c>
      <c r="P584" s="78" t="s">
        <v>499</v>
      </c>
      <c r="Q584" s="78" t="s">
        <v>992</v>
      </c>
      <c r="R584" s="78" t="s">
        <v>1474</v>
      </c>
      <c r="S584" s="78"/>
      <c r="T584" s="78"/>
      <c r="U584" s="78"/>
      <c r="V584" s="78"/>
      <c r="W584" s="81" t="s">
        <v>1674</v>
      </c>
      <c r="X584" s="81" t="s">
        <v>1674</v>
      </c>
      <c r="Y584" s="78"/>
      <c r="Z584" s="78"/>
      <c r="AA584" s="81" t="s">
        <v>1674</v>
      </c>
      <c r="AB584" s="79">
        <v>7</v>
      </c>
      <c r="AC584" s="80" t="str">
        <f>REPLACE(INDEX(GroupVertices[Group],MATCH("~"&amp;Edges[[#This Row],[Vertex 1]],GroupVertices[Vertex],0)),1,1,"")</f>
        <v>1</v>
      </c>
      <c r="AD584" s="80" t="str">
        <f>REPLACE(INDEX(GroupVertices[Group],MATCH("~"&amp;Edges[[#This Row],[Vertex 2]],GroupVertices[Vertex],0)),1,1,"")</f>
        <v>1</v>
      </c>
      <c r="AE584" s="105"/>
      <c r="AF584" s="105"/>
      <c r="AG584" s="105"/>
      <c r="AH584" s="105"/>
      <c r="AI584" s="105"/>
      <c r="AJ584" s="105"/>
      <c r="AK584" s="105"/>
      <c r="AL584" s="105"/>
      <c r="AM584" s="105"/>
    </row>
    <row r="585" spans="1:39" ht="15">
      <c r="A585" s="62" t="s">
        <v>255</v>
      </c>
      <c r="B585" s="62" t="s">
        <v>254</v>
      </c>
      <c r="C585" s="63" t="s">
        <v>3599</v>
      </c>
      <c r="D585" s="64">
        <v>6.315789473684211</v>
      </c>
      <c r="E585" s="65" t="s">
        <v>136</v>
      </c>
      <c r="F585" s="66">
        <v>29.547169811320757</v>
      </c>
      <c r="G585" s="63"/>
      <c r="H585" s="67"/>
      <c r="I585" s="68"/>
      <c r="J585" s="68"/>
      <c r="K585" s="31" t="s">
        <v>65</v>
      </c>
      <c r="L585" s="76">
        <v>585</v>
      </c>
      <c r="M585" s="76"/>
      <c r="N585" s="70"/>
      <c r="O585" s="78" t="s">
        <v>305</v>
      </c>
      <c r="P585" s="78" t="s">
        <v>363</v>
      </c>
      <c r="Q585" s="78" t="s">
        <v>730</v>
      </c>
      <c r="R585" s="78" t="s">
        <v>728</v>
      </c>
      <c r="S585" s="78"/>
      <c r="T585" s="78"/>
      <c r="U585" s="78"/>
      <c r="V585" s="78"/>
      <c r="W585" s="81" t="s">
        <v>1674</v>
      </c>
      <c r="X585" s="81" t="s">
        <v>1674</v>
      </c>
      <c r="Y585" s="78"/>
      <c r="Z585" s="78"/>
      <c r="AA585" s="81" t="s">
        <v>1674</v>
      </c>
      <c r="AB585" s="79">
        <v>6</v>
      </c>
      <c r="AC585" s="80" t="str">
        <f>REPLACE(INDEX(GroupVertices[Group],MATCH("~"&amp;Edges[[#This Row],[Vertex 1]],GroupVertices[Vertex],0)),1,1,"")</f>
        <v>1</v>
      </c>
      <c r="AD585" s="80" t="str">
        <f>REPLACE(INDEX(GroupVertices[Group],MATCH("~"&amp;Edges[[#This Row],[Vertex 2]],GroupVertices[Vertex],0)),1,1,"")</f>
        <v>2</v>
      </c>
      <c r="AE585" s="105"/>
      <c r="AF585" s="105"/>
      <c r="AG585" s="105"/>
      <c r="AH585" s="105"/>
      <c r="AI585" s="105"/>
      <c r="AJ585" s="105"/>
      <c r="AK585" s="105"/>
      <c r="AL585" s="105"/>
      <c r="AM585" s="105"/>
    </row>
    <row r="586" spans="1:39" ht="15">
      <c r="A586" s="62" t="s">
        <v>255</v>
      </c>
      <c r="B586" s="62" t="s">
        <v>254</v>
      </c>
      <c r="C586" s="63" t="s">
        <v>3599</v>
      </c>
      <c r="D586" s="64">
        <v>6.315789473684211</v>
      </c>
      <c r="E586" s="65" t="s">
        <v>136</v>
      </c>
      <c r="F586" s="66">
        <v>29.547169811320757</v>
      </c>
      <c r="G586" s="63"/>
      <c r="H586" s="67"/>
      <c r="I586" s="68"/>
      <c r="J586" s="68"/>
      <c r="K586" s="31" t="s">
        <v>65</v>
      </c>
      <c r="L586" s="76">
        <v>586</v>
      </c>
      <c r="M586" s="76"/>
      <c r="N586" s="70"/>
      <c r="O586" s="78" t="s">
        <v>305</v>
      </c>
      <c r="P586" s="78" t="s">
        <v>380</v>
      </c>
      <c r="Q586" s="78" t="s">
        <v>993</v>
      </c>
      <c r="R586" s="78" t="s">
        <v>1333</v>
      </c>
      <c r="S586" s="78"/>
      <c r="T586" s="78"/>
      <c r="U586" s="78"/>
      <c r="V586" s="78"/>
      <c r="W586" s="81" t="s">
        <v>1674</v>
      </c>
      <c r="X586" s="81" t="s">
        <v>1674</v>
      </c>
      <c r="Y586" s="78"/>
      <c r="Z586" s="78"/>
      <c r="AA586" s="81" t="s">
        <v>1674</v>
      </c>
      <c r="AB586" s="79">
        <v>6</v>
      </c>
      <c r="AC586" s="80" t="str">
        <f>REPLACE(INDEX(GroupVertices[Group],MATCH("~"&amp;Edges[[#This Row],[Vertex 1]],GroupVertices[Vertex],0)),1,1,"")</f>
        <v>1</v>
      </c>
      <c r="AD586" s="80" t="str">
        <f>REPLACE(INDEX(GroupVertices[Group],MATCH("~"&amp;Edges[[#This Row],[Vertex 2]],GroupVertices[Vertex],0)),1,1,"")</f>
        <v>2</v>
      </c>
      <c r="AE586" s="105"/>
      <c r="AF586" s="105"/>
      <c r="AG586" s="105"/>
      <c r="AH586" s="105"/>
      <c r="AI586" s="105"/>
      <c r="AJ586" s="105"/>
      <c r="AK586" s="105"/>
      <c r="AL586" s="105"/>
      <c r="AM586" s="105"/>
    </row>
    <row r="587" spans="1:39" ht="15">
      <c r="A587" s="62" t="s">
        <v>255</v>
      </c>
      <c r="B587" s="62" t="s">
        <v>254</v>
      </c>
      <c r="C587" s="63" t="s">
        <v>3599</v>
      </c>
      <c r="D587" s="64">
        <v>6.315789473684211</v>
      </c>
      <c r="E587" s="65" t="s">
        <v>136</v>
      </c>
      <c r="F587" s="66">
        <v>29.547169811320757</v>
      </c>
      <c r="G587" s="63"/>
      <c r="H587" s="67"/>
      <c r="I587" s="68"/>
      <c r="J587" s="68"/>
      <c r="K587" s="31" t="s">
        <v>65</v>
      </c>
      <c r="L587" s="76">
        <v>587</v>
      </c>
      <c r="M587" s="76"/>
      <c r="N587" s="70"/>
      <c r="O587" s="78" t="s">
        <v>305</v>
      </c>
      <c r="P587" s="78" t="s">
        <v>500</v>
      </c>
      <c r="Q587" s="78" t="s">
        <v>994</v>
      </c>
      <c r="R587" s="78" t="s">
        <v>1475</v>
      </c>
      <c r="S587" s="78"/>
      <c r="T587" s="78"/>
      <c r="U587" s="78"/>
      <c r="V587" s="78"/>
      <c r="W587" s="81" t="s">
        <v>1674</v>
      </c>
      <c r="X587" s="81" t="s">
        <v>1674</v>
      </c>
      <c r="Y587" s="78"/>
      <c r="Z587" s="78"/>
      <c r="AA587" s="81" t="s">
        <v>1674</v>
      </c>
      <c r="AB587" s="79">
        <v>6</v>
      </c>
      <c r="AC587" s="80" t="str">
        <f>REPLACE(INDEX(GroupVertices[Group],MATCH("~"&amp;Edges[[#This Row],[Vertex 1]],GroupVertices[Vertex],0)),1,1,"")</f>
        <v>1</v>
      </c>
      <c r="AD587" s="80" t="str">
        <f>REPLACE(INDEX(GroupVertices[Group],MATCH("~"&amp;Edges[[#This Row],[Vertex 2]],GroupVertices[Vertex],0)),1,1,"")</f>
        <v>2</v>
      </c>
      <c r="AE587" s="105"/>
      <c r="AF587" s="105"/>
      <c r="AG587" s="105"/>
      <c r="AH587" s="105"/>
      <c r="AI587" s="105"/>
      <c r="AJ587" s="105"/>
      <c r="AK587" s="105"/>
      <c r="AL587" s="105"/>
      <c r="AM587" s="105"/>
    </row>
    <row r="588" spans="1:39" ht="15">
      <c r="A588" s="62" t="s">
        <v>255</v>
      </c>
      <c r="B588" s="62" t="s">
        <v>254</v>
      </c>
      <c r="C588" s="63" t="s">
        <v>3599</v>
      </c>
      <c r="D588" s="64">
        <v>6.315789473684211</v>
      </c>
      <c r="E588" s="65" t="s">
        <v>136</v>
      </c>
      <c r="F588" s="66">
        <v>29.547169811320757</v>
      </c>
      <c r="G588" s="63"/>
      <c r="H588" s="67"/>
      <c r="I588" s="68"/>
      <c r="J588" s="68"/>
      <c r="K588" s="31" t="s">
        <v>65</v>
      </c>
      <c r="L588" s="76">
        <v>588</v>
      </c>
      <c r="M588" s="76"/>
      <c r="N588" s="70"/>
      <c r="O588" s="78" t="s">
        <v>305</v>
      </c>
      <c r="P588" s="78" t="s">
        <v>370</v>
      </c>
      <c r="Q588" s="78" t="s">
        <v>935</v>
      </c>
      <c r="R588" s="78" t="s">
        <v>930</v>
      </c>
      <c r="S588" s="78"/>
      <c r="T588" s="78"/>
      <c r="U588" s="78"/>
      <c r="V588" s="78"/>
      <c r="W588" s="81" t="s">
        <v>1674</v>
      </c>
      <c r="X588" s="81" t="s">
        <v>1674</v>
      </c>
      <c r="Y588" s="78"/>
      <c r="Z588" s="78"/>
      <c r="AA588" s="81" t="s">
        <v>1674</v>
      </c>
      <c r="AB588" s="79">
        <v>6</v>
      </c>
      <c r="AC588" s="80" t="str">
        <f>REPLACE(INDEX(GroupVertices[Group],MATCH("~"&amp;Edges[[#This Row],[Vertex 1]],GroupVertices[Vertex],0)),1,1,"")</f>
        <v>1</v>
      </c>
      <c r="AD588" s="80" t="str">
        <f>REPLACE(INDEX(GroupVertices[Group],MATCH("~"&amp;Edges[[#This Row],[Vertex 2]],GroupVertices[Vertex],0)),1,1,"")</f>
        <v>2</v>
      </c>
      <c r="AE588" s="105"/>
      <c r="AF588" s="105"/>
      <c r="AG588" s="105"/>
      <c r="AH588" s="105"/>
      <c r="AI588" s="105"/>
      <c r="AJ588" s="105"/>
      <c r="AK588" s="105"/>
      <c r="AL588" s="105"/>
      <c r="AM588" s="105"/>
    </row>
    <row r="589" spans="1:39" ht="15">
      <c r="A589" s="62" t="s">
        <v>255</v>
      </c>
      <c r="B589" s="62" t="s">
        <v>254</v>
      </c>
      <c r="C589" s="63" t="s">
        <v>3599</v>
      </c>
      <c r="D589" s="64">
        <v>6.315789473684211</v>
      </c>
      <c r="E589" s="65" t="s">
        <v>136</v>
      </c>
      <c r="F589" s="66">
        <v>29.547169811320757</v>
      </c>
      <c r="G589" s="63"/>
      <c r="H589" s="67"/>
      <c r="I589" s="68"/>
      <c r="J589" s="68"/>
      <c r="K589" s="31" t="s">
        <v>65</v>
      </c>
      <c r="L589" s="76">
        <v>589</v>
      </c>
      <c r="M589" s="76"/>
      <c r="N589" s="70"/>
      <c r="O589" s="78" t="s">
        <v>305</v>
      </c>
      <c r="P589" s="78" t="s">
        <v>370</v>
      </c>
      <c r="Q589" s="78" t="s">
        <v>935</v>
      </c>
      <c r="R589" s="78" t="s">
        <v>933</v>
      </c>
      <c r="S589" s="78"/>
      <c r="T589" s="78"/>
      <c r="U589" s="78"/>
      <c r="V589" s="78"/>
      <c r="W589" s="81" t="s">
        <v>1674</v>
      </c>
      <c r="X589" s="81" t="s">
        <v>1674</v>
      </c>
      <c r="Y589" s="78"/>
      <c r="Z589" s="78"/>
      <c r="AA589" s="81" t="s">
        <v>1674</v>
      </c>
      <c r="AB589" s="79">
        <v>6</v>
      </c>
      <c r="AC589" s="80" t="str">
        <f>REPLACE(INDEX(GroupVertices[Group],MATCH("~"&amp;Edges[[#This Row],[Vertex 1]],GroupVertices[Vertex],0)),1,1,"")</f>
        <v>1</v>
      </c>
      <c r="AD589" s="80" t="str">
        <f>REPLACE(INDEX(GroupVertices[Group],MATCH("~"&amp;Edges[[#This Row],[Vertex 2]],GroupVertices[Vertex],0)),1,1,"")</f>
        <v>2</v>
      </c>
      <c r="AE589" s="105"/>
      <c r="AF589" s="105"/>
      <c r="AG589" s="105"/>
      <c r="AH589" s="105"/>
      <c r="AI589" s="105"/>
      <c r="AJ589" s="105"/>
      <c r="AK589" s="105"/>
      <c r="AL589" s="105"/>
      <c r="AM589" s="105"/>
    </row>
    <row r="590" spans="1:39" ht="15">
      <c r="A590" s="62" t="s">
        <v>255</v>
      </c>
      <c r="B590" s="62" t="s">
        <v>254</v>
      </c>
      <c r="C590" s="63" t="s">
        <v>3599</v>
      </c>
      <c r="D590" s="64">
        <v>6.315789473684211</v>
      </c>
      <c r="E590" s="65" t="s">
        <v>136</v>
      </c>
      <c r="F590" s="66">
        <v>29.547169811320757</v>
      </c>
      <c r="G590" s="63"/>
      <c r="H590" s="67"/>
      <c r="I590" s="68"/>
      <c r="J590" s="68"/>
      <c r="K590" s="31" t="s">
        <v>65</v>
      </c>
      <c r="L590" s="76">
        <v>590</v>
      </c>
      <c r="M590" s="76"/>
      <c r="N590" s="70"/>
      <c r="O590" s="78" t="s">
        <v>305</v>
      </c>
      <c r="P590" s="78" t="s">
        <v>370</v>
      </c>
      <c r="Q590" s="78" t="s">
        <v>935</v>
      </c>
      <c r="R590" s="78" t="s">
        <v>934</v>
      </c>
      <c r="S590" s="78"/>
      <c r="T590" s="78"/>
      <c r="U590" s="78"/>
      <c r="V590" s="78"/>
      <c r="W590" s="81" t="s">
        <v>1674</v>
      </c>
      <c r="X590" s="81" t="s">
        <v>1674</v>
      </c>
      <c r="Y590" s="78"/>
      <c r="Z590" s="78"/>
      <c r="AA590" s="81" t="s">
        <v>1674</v>
      </c>
      <c r="AB590" s="79">
        <v>6</v>
      </c>
      <c r="AC590" s="80" t="str">
        <f>REPLACE(INDEX(GroupVertices[Group],MATCH("~"&amp;Edges[[#This Row],[Vertex 1]],GroupVertices[Vertex],0)),1,1,"")</f>
        <v>1</v>
      </c>
      <c r="AD590" s="80" t="str">
        <f>REPLACE(INDEX(GroupVertices[Group],MATCH("~"&amp;Edges[[#This Row],[Vertex 2]],GroupVertices[Vertex],0)),1,1,"")</f>
        <v>2</v>
      </c>
      <c r="AE590" s="105"/>
      <c r="AF590" s="105"/>
      <c r="AG590" s="105"/>
      <c r="AH590" s="105"/>
      <c r="AI590" s="105"/>
      <c r="AJ590" s="105"/>
      <c r="AK590" s="105"/>
      <c r="AL590" s="105"/>
      <c r="AM590" s="105"/>
    </row>
    <row r="591" spans="1:39" ht="15">
      <c r="A591" s="62" t="s">
        <v>256</v>
      </c>
      <c r="B591" s="62" t="s">
        <v>255</v>
      </c>
      <c r="C591" s="63" t="s">
        <v>3599</v>
      </c>
      <c r="D591" s="64">
        <v>6.052631578947368</v>
      </c>
      <c r="E591" s="65" t="s">
        <v>136</v>
      </c>
      <c r="F591" s="66">
        <v>30.037735849056602</v>
      </c>
      <c r="G591" s="63"/>
      <c r="H591" s="67"/>
      <c r="I591" s="68"/>
      <c r="J591" s="68"/>
      <c r="K591" s="31" t="s">
        <v>65</v>
      </c>
      <c r="L591" s="76">
        <v>591</v>
      </c>
      <c r="M591" s="76"/>
      <c r="N591" s="70"/>
      <c r="O591" s="78" t="s">
        <v>305</v>
      </c>
      <c r="P591" s="78" t="s">
        <v>370</v>
      </c>
      <c r="Q591" s="78" t="s">
        <v>936</v>
      </c>
      <c r="R591" s="78" t="s">
        <v>935</v>
      </c>
      <c r="S591" s="78"/>
      <c r="T591" s="78"/>
      <c r="U591" s="78"/>
      <c r="V591" s="78"/>
      <c r="W591" s="81" t="s">
        <v>1674</v>
      </c>
      <c r="X591" s="81" t="s">
        <v>1674</v>
      </c>
      <c r="Y591" s="78"/>
      <c r="Z591" s="78"/>
      <c r="AA591" s="81" t="s">
        <v>1674</v>
      </c>
      <c r="AB591" s="79">
        <v>5</v>
      </c>
      <c r="AC591" s="80" t="str">
        <f>REPLACE(INDEX(GroupVertices[Group],MATCH("~"&amp;Edges[[#This Row],[Vertex 1]],GroupVertices[Vertex],0)),1,1,"")</f>
        <v>1</v>
      </c>
      <c r="AD591" s="80" t="str">
        <f>REPLACE(INDEX(GroupVertices[Group],MATCH("~"&amp;Edges[[#This Row],[Vertex 2]],GroupVertices[Vertex],0)),1,1,"")</f>
        <v>1</v>
      </c>
      <c r="AE591" s="105"/>
      <c r="AF591" s="105"/>
      <c r="AG591" s="105"/>
      <c r="AH591" s="105"/>
      <c r="AI591" s="105"/>
      <c r="AJ591" s="105"/>
      <c r="AK591" s="105"/>
      <c r="AL591" s="105"/>
      <c r="AM591" s="105"/>
    </row>
    <row r="592" spans="1:39" ht="15">
      <c r="A592" s="62" t="s">
        <v>256</v>
      </c>
      <c r="B592" s="62" t="s">
        <v>255</v>
      </c>
      <c r="C592" s="63" t="s">
        <v>3599</v>
      </c>
      <c r="D592" s="64">
        <v>6.052631578947368</v>
      </c>
      <c r="E592" s="65" t="s">
        <v>136</v>
      </c>
      <c r="F592" s="66">
        <v>30.037735849056602</v>
      </c>
      <c r="G592" s="63"/>
      <c r="H592" s="67"/>
      <c r="I592" s="68"/>
      <c r="J592" s="68"/>
      <c r="K592" s="31" t="s">
        <v>65</v>
      </c>
      <c r="L592" s="76">
        <v>592</v>
      </c>
      <c r="M592" s="76"/>
      <c r="N592" s="70"/>
      <c r="O592" s="78" t="s">
        <v>305</v>
      </c>
      <c r="P592" s="78" t="s">
        <v>370</v>
      </c>
      <c r="Q592" s="78" t="s">
        <v>937</v>
      </c>
      <c r="R592" s="78" t="s">
        <v>935</v>
      </c>
      <c r="S592" s="78"/>
      <c r="T592" s="78"/>
      <c r="U592" s="78"/>
      <c r="V592" s="78"/>
      <c r="W592" s="81" t="s">
        <v>1674</v>
      </c>
      <c r="X592" s="81" t="s">
        <v>1674</v>
      </c>
      <c r="Y592" s="78"/>
      <c r="Z592" s="78"/>
      <c r="AA592" s="81" t="s">
        <v>1674</v>
      </c>
      <c r="AB592" s="79">
        <v>5</v>
      </c>
      <c r="AC592" s="80" t="str">
        <f>REPLACE(INDEX(GroupVertices[Group],MATCH("~"&amp;Edges[[#This Row],[Vertex 1]],GroupVertices[Vertex],0)),1,1,"")</f>
        <v>1</v>
      </c>
      <c r="AD592" s="80" t="str">
        <f>REPLACE(INDEX(GroupVertices[Group],MATCH("~"&amp;Edges[[#This Row],[Vertex 2]],GroupVertices[Vertex],0)),1,1,"")</f>
        <v>1</v>
      </c>
      <c r="AE592" s="105"/>
      <c r="AF592" s="105"/>
      <c r="AG592" s="105"/>
      <c r="AH592" s="105"/>
      <c r="AI592" s="105"/>
      <c r="AJ592" s="105"/>
      <c r="AK592" s="105"/>
      <c r="AL592" s="105"/>
      <c r="AM592" s="105"/>
    </row>
    <row r="593" spans="1:39" ht="15">
      <c r="A593" s="62" t="s">
        <v>256</v>
      </c>
      <c r="B593" s="62" t="s">
        <v>255</v>
      </c>
      <c r="C593" s="63" t="s">
        <v>3599</v>
      </c>
      <c r="D593" s="64">
        <v>6.052631578947368</v>
      </c>
      <c r="E593" s="65" t="s">
        <v>136</v>
      </c>
      <c r="F593" s="66">
        <v>30.037735849056602</v>
      </c>
      <c r="G593" s="63"/>
      <c r="H593" s="67"/>
      <c r="I593" s="68"/>
      <c r="J593" s="68"/>
      <c r="K593" s="31" t="s">
        <v>65</v>
      </c>
      <c r="L593" s="76">
        <v>593</v>
      </c>
      <c r="M593" s="76"/>
      <c r="N593" s="70"/>
      <c r="O593" s="78" t="s">
        <v>305</v>
      </c>
      <c r="P593" s="78" t="s">
        <v>363</v>
      </c>
      <c r="Q593" s="78" t="s">
        <v>733</v>
      </c>
      <c r="R593" s="78" t="s">
        <v>730</v>
      </c>
      <c r="S593" s="78"/>
      <c r="T593" s="78"/>
      <c r="U593" s="78"/>
      <c r="V593" s="78"/>
      <c r="W593" s="81" t="s">
        <v>1674</v>
      </c>
      <c r="X593" s="81" t="s">
        <v>1674</v>
      </c>
      <c r="Y593" s="78"/>
      <c r="Z593" s="78"/>
      <c r="AA593" s="81" t="s">
        <v>1674</v>
      </c>
      <c r="AB593" s="79">
        <v>5</v>
      </c>
      <c r="AC593" s="80" t="str">
        <f>REPLACE(INDEX(GroupVertices[Group],MATCH("~"&amp;Edges[[#This Row],[Vertex 1]],GroupVertices[Vertex],0)),1,1,"")</f>
        <v>1</v>
      </c>
      <c r="AD593" s="80" t="str">
        <f>REPLACE(INDEX(GroupVertices[Group],MATCH("~"&amp;Edges[[#This Row],[Vertex 2]],GroupVertices[Vertex],0)),1,1,"")</f>
        <v>1</v>
      </c>
      <c r="AE593" s="105"/>
      <c r="AF593" s="105"/>
      <c r="AG593" s="105"/>
      <c r="AH593" s="105"/>
      <c r="AI593" s="105"/>
      <c r="AJ593" s="105"/>
      <c r="AK593" s="105"/>
      <c r="AL593" s="105"/>
      <c r="AM593" s="105"/>
    </row>
    <row r="594" spans="1:39" ht="15">
      <c r="A594" s="62" t="s">
        <v>256</v>
      </c>
      <c r="B594" s="62" t="s">
        <v>255</v>
      </c>
      <c r="C594" s="63" t="s">
        <v>3599</v>
      </c>
      <c r="D594" s="64">
        <v>6.052631578947368</v>
      </c>
      <c r="E594" s="65" t="s">
        <v>136</v>
      </c>
      <c r="F594" s="66">
        <v>30.037735849056602</v>
      </c>
      <c r="G594" s="63"/>
      <c r="H594" s="67"/>
      <c r="I594" s="68"/>
      <c r="J594" s="68"/>
      <c r="K594" s="31" t="s">
        <v>65</v>
      </c>
      <c r="L594" s="76">
        <v>594</v>
      </c>
      <c r="M594" s="76"/>
      <c r="N594" s="70"/>
      <c r="O594" s="78" t="s">
        <v>305</v>
      </c>
      <c r="P594" s="78" t="s">
        <v>501</v>
      </c>
      <c r="Q594" s="78" t="s">
        <v>995</v>
      </c>
      <c r="R594" s="78" t="s">
        <v>995</v>
      </c>
      <c r="S594" s="78"/>
      <c r="T594" s="78"/>
      <c r="U594" s="78"/>
      <c r="V594" s="78"/>
      <c r="W594" s="81" t="s">
        <v>1674</v>
      </c>
      <c r="X594" s="81" t="s">
        <v>1674</v>
      </c>
      <c r="Y594" s="78"/>
      <c r="Z594" s="78"/>
      <c r="AA594" s="81" t="s">
        <v>1674</v>
      </c>
      <c r="AB594" s="79">
        <v>5</v>
      </c>
      <c r="AC594" s="80" t="str">
        <f>REPLACE(INDEX(GroupVertices[Group],MATCH("~"&amp;Edges[[#This Row],[Vertex 1]],GroupVertices[Vertex],0)),1,1,"")</f>
        <v>1</v>
      </c>
      <c r="AD594" s="80" t="str">
        <f>REPLACE(INDEX(GroupVertices[Group],MATCH("~"&amp;Edges[[#This Row],[Vertex 2]],GroupVertices[Vertex],0)),1,1,"")</f>
        <v>1</v>
      </c>
      <c r="AE594" s="105"/>
      <c r="AF594" s="105"/>
      <c r="AG594" s="105"/>
      <c r="AH594" s="105"/>
      <c r="AI594" s="105"/>
      <c r="AJ594" s="105"/>
      <c r="AK594" s="105"/>
      <c r="AL594" s="105"/>
      <c r="AM594" s="105"/>
    </row>
    <row r="595" spans="1:39" ht="15">
      <c r="A595" s="62" t="s">
        <v>256</v>
      </c>
      <c r="B595" s="62" t="s">
        <v>255</v>
      </c>
      <c r="C595" s="63" t="s">
        <v>3599</v>
      </c>
      <c r="D595" s="64">
        <v>6.052631578947368</v>
      </c>
      <c r="E595" s="65" t="s">
        <v>136</v>
      </c>
      <c r="F595" s="66">
        <v>30.037735849056602</v>
      </c>
      <c r="G595" s="63"/>
      <c r="H595" s="67"/>
      <c r="I595" s="68"/>
      <c r="J595" s="68"/>
      <c r="K595" s="31" t="s">
        <v>65</v>
      </c>
      <c r="L595" s="76">
        <v>595</v>
      </c>
      <c r="M595" s="76"/>
      <c r="N595" s="70"/>
      <c r="O595" s="78" t="s">
        <v>305</v>
      </c>
      <c r="P595" s="78" t="s">
        <v>502</v>
      </c>
      <c r="Q595" s="78" t="s">
        <v>996</v>
      </c>
      <c r="R595" s="78" t="s">
        <v>1476</v>
      </c>
      <c r="S595" s="78"/>
      <c r="T595" s="78"/>
      <c r="U595" s="78"/>
      <c r="V595" s="78"/>
      <c r="W595" s="81" t="s">
        <v>1674</v>
      </c>
      <c r="X595" s="81" t="s">
        <v>1674</v>
      </c>
      <c r="Y595" s="78"/>
      <c r="Z595" s="78"/>
      <c r="AA595" s="81" t="s">
        <v>1674</v>
      </c>
      <c r="AB595" s="79">
        <v>5</v>
      </c>
      <c r="AC595" s="80" t="str">
        <f>REPLACE(INDEX(GroupVertices[Group],MATCH("~"&amp;Edges[[#This Row],[Vertex 1]],GroupVertices[Vertex],0)),1,1,"")</f>
        <v>1</v>
      </c>
      <c r="AD595" s="80" t="str">
        <f>REPLACE(INDEX(GroupVertices[Group],MATCH("~"&amp;Edges[[#This Row],[Vertex 2]],GroupVertices[Vertex],0)),1,1,"")</f>
        <v>1</v>
      </c>
      <c r="AE595" s="105"/>
      <c r="AF595" s="105"/>
      <c r="AG595" s="105"/>
      <c r="AH595" s="105"/>
      <c r="AI595" s="105"/>
      <c r="AJ595" s="105"/>
      <c r="AK595" s="105"/>
      <c r="AL595" s="105"/>
      <c r="AM595" s="105"/>
    </row>
    <row r="596" spans="1:39" ht="15">
      <c r="A596" s="62" t="s">
        <v>246</v>
      </c>
      <c r="B596" s="62" t="s">
        <v>255</v>
      </c>
      <c r="C596" s="63" t="s">
        <v>3598</v>
      </c>
      <c r="D596" s="64">
        <v>5</v>
      </c>
      <c r="E596" s="65" t="s">
        <v>132</v>
      </c>
      <c r="F596" s="66">
        <v>32</v>
      </c>
      <c r="G596" s="63"/>
      <c r="H596" s="67"/>
      <c r="I596" s="68"/>
      <c r="J596" s="68"/>
      <c r="K596" s="31" t="s">
        <v>65</v>
      </c>
      <c r="L596" s="76">
        <v>596</v>
      </c>
      <c r="M596" s="76"/>
      <c r="N596" s="70"/>
      <c r="O596" s="78" t="s">
        <v>305</v>
      </c>
      <c r="P596" s="78" t="s">
        <v>503</v>
      </c>
      <c r="Q596" s="78" t="s">
        <v>997</v>
      </c>
      <c r="R596" s="78" t="s">
        <v>1477</v>
      </c>
      <c r="S596" s="78" t="s">
        <v>1653</v>
      </c>
      <c r="T596" s="78"/>
      <c r="U596" s="78" t="s">
        <v>1670</v>
      </c>
      <c r="V596" s="78"/>
      <c r="W596" s="81" t="s">
        <v>1674</v>
      </c>
      <c r="X596" s="81" t="s">
        <v>1674</v>
      </c>
      <c r="Y596" s="78" t="s">
        <v>1690</v>
      </c>
      <c r="Z596" s="78" t="s">
        <v>1709</v>
      </c>
      <c r="AA596" s="81" t="s">
        <v>1674</v>
      </c>
      <c r="AB596" s="79">
        <v>1</v>
      </c>
      <c r="AC596" s="80" t="str">
        <f>REPLACE(INDEX(GroupVertices[Group],MATCH("~"&amp;Edges[[#This Row],[Vertex 1]],GroupVertices[Vertex],0)),1,1,"")</f>
        <v>3</v>
      </c>
      <c r="AD596" s="80" t="str">
        <f>REPLACE(INDEX(GroupVertices[Group],MATCH("~"&amp;Edges[[#This Row],[Vertex 2]],GroupVertices[Vertex],0)),1,1,"")</f>
        <v>1</v>
      </c>
      <c r="AE596" s="105"/>
      <c r="AF596" s="105"/>
      <c r="AG596" s="105"/>
      <c r="AH596" s="105"/>
      <c r="AI596" s="105"/>
      <c r="AJ596" s="105"/>
      <c r="AK596" s="105"/>
      <c r="AL596" s="105"/>
      <c r="AM596" s="105"/>
    </row>
    <row r="597" spans="1:39" ht="15">
      <c r="A597" s="62" t="s">
        <v>257</v>
      </c>
      <c r="B597" s="62" t="s">
        <v>255</v>
      </c>
      <c r="C597" s="63" t="s">
        <v>3598</v>
      </c>
      <c r="D597" s="64">
        <v>5</v>
      </c>
      <c r="E597" s="65" t="s">
        <v>132</v>
      </c>
      <c r="F597" s="66">
        <v>32</v>
      </c>
      <c r="G597" s="63"/>
      <c r="H597" s="67"/>
      <c r="I597" s="68"/>
      <c r="J597" s="68"/>
      <c r="K597" s="31" t="s">
        <v>65</v>
      </c>
      <c r="L597" s="76">
        <v>597</v>
      </c>
      <c r="M597" s="76"/>
      <c r="N597" s="70"/>
      <c r="O597" s="78" t="s">
        <v>305</v>
      </c>
      <c r="P597" s="78" t="s">
        <v>501</v>
      </c>
      <c r="Q597" s="78" t="s">
        <v>998</v>
      </c>
      <c r="R597" s="78" t="s">
        <v>995</v>
      </c>
      <c r="S597" s="78"/>
      <c r="T597" s="78"/>
      <c r="U597" s="78"/>
      <c r="V597" s="78"/>
      <c r="W597" s="81" t="s">
        <v>1674</v>
      </c>
      <c r="X597" s="81" t="s">
        <v>1674</v>
      </c>
      <c r="Y597" s="78"/>
      <c r="Z597" s="78"/>
      <c r="AA597" s="81" t="s">
        <v>1674</v>
      </c>
      <c r="AB597" s="79">
        <v>1</v>
      </c>
      <c r="AC597" s="80" t="str">
        <f>REPLACE(INDEX(GroupVertices[Group],MATCH("~"&amp;Edges[[#This Row],[Vertex 1]],GroupVertices[Vertex],0)),1,1,"")</f>
        <v>1</v>
      </c>
      <c r="AD597" s="80" t="str">
        <f>REPLACE(INDEX(GroupVertices[Group],MATCH("~"&amp;Edges[[#This Row],[Vertex 2]],GroupVertices[Vertex],0)),1,1,"")</f>
        <v>1</v>
      </c>
      <c r="AE597" s="105"/>
      <c r="AF597" s="105"/>
      <c r="AG597" s="105"/>
      <c r="AH597" s="105"/>
      <c r="AI597" s="105"/>
      <c r="AJ597" s="105"/>
      <c r="AK597" s="105"/>
      <c r="AL597" s="105"/>
      <c r="AM597" s="105"/>
    </row>
    <row r="598" spans="1:39" ht="15">
      <c r="A598" s="62" t="s">
        <v>258</v>
      </c>
      <c r="B598" s="62" t="s">
        <v>255</v>
      </c>
      <c r="C598" s="63" t="s">
        <v>3598</v>
      </c>
      <c r="D598" s="64">
        <v>5.2631578947368425</v>
      </c>
      <c r="E598" s="65" t="s">
        <v>136</v>
      </c>
      <c r="F598" s="66">
        <v>31.50943396226415</v>
      </c>
      <c r="G598" s="63"/>
      <c r="H598" s="67"/>
      <c r="I598" s="68"/>
      <c r="J598" s="68"/>
      <c r="K598" s="31" t="s">
        <v>65</v>
      </c>
      <c r="L598" s="76">
        <v>598</v>
      </c>
      <c r="M598" s="76"/>
      <c r="N598" s="70"/>
      <c r="O598" s="78" t="s">
        <v>305</v>
      </c>
      <c r="P598" s="78" t="s">
        <v>501</v>
      </c>
      <c r="Q598" s="78" t="s">
        <v>999</v>
      </c>
      <c r="R598" s="78" t="s">
        <v>995</v>
      </c>
      <c r="S598" s="78"/>
      <c r="T598" s="78"/>
      <c r="U598" s="78"/>
      <c r="V598" s="78"/>
      <c r="W598" s="81" t="s">
        <v>1674</v>
      </c>
      <c r="X598" s="81" t="s">
        <v>1674</v>
      </c>
      <c r="Y598" s="78"/>
      <c r="Z598" s="78"/>
      <c r="AA598" s="81" t="s">
        <v>1674</v>
      </c>
      <c r="AB598" s="79">
        <v>2</v>
      </c>
      <c r="AC598" s="80" t="str">
        <f>REPLACE(INDEX(GroupVertices[Group],MATCH("~"&amp;Edges[[#This Row],[Vertex 1]],GroupVertices[Vertex],0)),1,1,"")</f>
        <v>1</v>
      </c>
      <c r="AD598" s="80" t="str">
        <f>REPLACE(INDEX(GroupVertices[Group],MATCH("~"&amp;Edges[[#This Row],[Vertex 2]],GroupVertices[Vertex],0)),1,1,"")</f>
        <v>1</v>
      </c>
      <c r="AE598" s="105"/>
      <c r="AF598" s="105"/>
      <c r="AG598" s="105"/>
      <c r="AH598" s="105"/>
      <c r="AI598" s="105"/>
      <c r="AJ598" s="105"/>
      <c r="AK598" s="105"/>
      <c r="AL598" s="105"/>
      <c r="AM598" s="105"/>
    </row>
    <row r="599" spans="1:39" ht="15">
      <c r="A599" s="62" t="s">
        <v>258</v>
      </c>
      <c r="B599" s="62" t="s">
        <v>255</v>
      </c>
      <c r="C599" s="63" t="s">
        <v>3598</v>
      </c>
      <c r="D599" s="64">
        <v>5.2631578947368425</v>
      </c>
      <c r="E599" s="65" t="s">
        <v>136</v>
      </c>
      <c r="F599" s="66">
        <v>31.50943396226415</v>
      </c>
      <c r="G599" s="63"/>
      <c r="H599" s="67"/>
      <c r="I599" s="68"/>
      <c r="J599" s="68"/>
      <c r="K599" s="31" t="s">
        <v>65</v>
      </c>
      <c r="L599" s="76">
        <v>599</v>
      </c>
      <c r="M599" s="76"/>
      <c r="N599" s="70"/>
      <c r="O599" s="78" t="s">
        <v>305</v>
      </c>
      <c r="P599" s="78" t="s">
        <v>504</v>
      </c>
      <c r="Q599" s="78" t="s">
        <v>1000</v>
      </c>
      <c r="R599" s="78" t="s">
        <v>1478</v>
      </c>
      <c r="S599" s="78"/>
      <c r="T599" s="78"/>
      <c r="U599" s="78"/>
      <c r="V599" s="78"/>
      <c r="W599" s="81" t="s">
        <v>1674</v>
      </c>
      <c r="X599" s="81" t="s">
        <v>1674</v>
      </c>
      <c r="Y599" s="78"/>
      <c r="Z599" s="78"/>
      <c r="AA599" s="81" t="s">
        <v>1674</v>
      </c>
      <c r="AB599" s="79">
        <v>2</v>
      </c>
      <c r="AC599" s="80" t="str">
        <f>REPLACE(INDEX(GroupVertices[Group],MATCH("~"&amp;Edges[[#This Row],[Vertex 1]],GroupVertices[Vertex],0)),1,1,"")</f>
        <v>1</v>
      </c>
      <c r="AD599" s="80" t="str">
        <f>REPLACE(INDEX(GroupVertices[Group],MATCH("~"&amp;Edges[[#This Row],[Vertex 2]],GroupVertices[Vertex],0)),1,1,"")</f>
        <v>1</v>
      </c>
      <c r="AE599" s="105"/>
      <c r="AF599" s="105"/>
      <c r="AG599" s="105"/>
      <c r="AH599" s="105"/>
      <c r="AI599" s="105"/>
      <c r="AJ599" s="105"/>
      <c r="AK599" s="105"/>
      <c r="AL599" s="105"/>
      <c r="AM599" s="105"/>
    </row>
    <row r="600" spans="1:39" ht="15">
      <c r="A600" s="62" t="s">
        <v>259</v>
      </c>
      <c r="B600" s="62" t="s">
        <v>255</v>
      </c>
      <c r="C600" s="63" t="s">
        <v>3598</v>
      </c>
      <c r="D600" s="64">
        <v>5</v>
      </c>
      <c r="E600" s="65" t="s">
        <v>132</v>
      </c>
      <c r="F600" s="66">
        <v>32</v>
      </c>
      <c r="G600" s="63"/>
      <c r="H600" s="67"/>
      <c r="I600" s="68"/>
      <c r="J600" s="68"/>
      <c r="K600" s="31" t="s">
        <v>65</v>
      </c>
      <c r="L600" s="76">
        <v>600</v>
      </c>
      <c r="M600" s="76"/>
      <c r="N600" s="70"/>
      <c r="O600" s="78" t="s">
        <v>305</v>
      </c>
      <c r="P600" s="78" t="s">
        <v>363</v>
      </c>
      <c r="Q600" s="78" t="s">
        <v>745</v>
      </c>
      <c r="R600" s="78" t="s">
        <v>730</v>
      </c>
      <c r="S600" s="78"/>
      <c r="T600" s="78"/>
      <c r="U600" s="78"/>
      <c r="V600" s="78"/>
      <c r="W600" s="81" t="s">
        <v>1674</v>
      </c>
      <c r="X600" s="81" t="s">
        <v>1674</v>
      </c>
      <c r="Y600" s="78"/>
      <c r="Z600" s="78"/>
      <c r="AA600" s="81" t="s">
        <v>1674</v>
      </c>
      <c r="AB600" s="79">
        <v>1</v>
      </c>
      <c r="AC600" s="80" t="str">
        <f>REPLACE(INDEX(GroupVertices[Group],MATCH("~"&amp;Edges[[#This Row],[Vertex 1]],GroupVertices[Vertex],0)),1,1,"")</f>
        <v>1</v>
      </c>
      <c r="AD600" s="80" t="str">
        <f>REPLACE(INDEX(GroupVertices[Group],MATCH("~"&amp;Edges[[#This Row],[Vertex 2]],GroupVertices[Vertex],0)),1,1,"")</f>
        <v>1</v>
      </c>
      <c r="AE600" s="105"/>
      <c r="AF600" s="105"/>
      <c r="AG600" s="105"/>
      <c r="AH600" s="105"/>
      <c r="AI600" s="105"/>
      <c r="AJ600" s="105"/>
      <c r="AK600" s="105"/>
      <c r="AL600" s="105"/>
      <c r="AM600" s="105"/>
    </row>
    <row r="601" spans="1:39" ht="15">
      <c r="A601" s="62" t="s">
        <v>235</v>
      </c>
      <c r="B601" s="62" t="s">
        <v>255</v>
      </c>
      <c r="C601" s="63" t="s">
        <v>3598</v>
      </c>
      <c r="D601" s="64">
        <v>5</v>
      </c>
      <c r="E601" s="65" t="s">
        <v>132</v>
      </c>
      <c r="F601" s="66">
        <v>32</v>
      </c>
      <c r="G601" s="63"/>
      <c r="H601" s="67"/>
      <c r="I601" s="68"/>
      <c r="J601" s="68"/>
      <c r="K601" s="31" t="s">
        <v>65</v>
      </c>
      <c r="L601" s="76">
        <v>601</v>
      </c>
      <c r="M601" s="76"/>
      <c r="N601" s="70"/>
      <c r="O601" s="78" t="s">
        <v>305</v>
      </c>
      <c r="P601" s="78" t="s">
        <v>501</v>
      </c>
      <c r="Q601" s="78" t="s">
        <v>995</v>
      </c>
      <c r="R601" s="78" t="s">
        <v>995</v>
      </c>
      <c r="S601" s="78"/>
      <c r="T601" s="78"/>
      <c r="U601" s="78"/>
      <c r="V601" s="78"/>
      <c r="W601" s="81" t="s">
        <v>1674</v>
      </c>
      <c r="X601" s="81" t="s">
        <v>1674</v>
      </c>
      <c r="Y601" s="78"/>
      <c r="Z601" s="78"/>
      <c r="AA601" s="81" t="s">
        <v>1674</v>
      </c>
      <c r="AB601" s="79">
        <v>1</v>
      </c>
      <c r="AC601" s="80" t="str">
        <f>REPLACE(INDEX(GroupVertices[Group],MATCH("~"&amp;Edges[[#This Row],[Vertex 1]],GroupVertices[Vertex],0)),1,1,"")</f>
        <v>1</v>
      </c>
      <c r="AD601" s="80" t="str">
        <f>REPLACE(INDEX(GroupVertices[Group],MATCH("~"&amp;Edges[[#This Row],[Vertex 2]],GroupVertices[Vertex],0)),1,1,"")</f>
        <v>1</v>
      </c>
      <c r="AE601" s="105"/>
      <c r="AF601" s="105"/>
      <c r="AG601" s="105"/>
      <c r="AH601" s="105"/>
      <c r="AI601" s="105"/>
      <c r="AJ601" s="105"/>
      <c r="AK601" s="105"/>
      <c r="AL601" s="105"/>
      <c r="AM601" s="105"/>
    </row>
    <row r="602" spans="1:39" ht="15">
      <c r="A602" s="62" t="s">
        <v>260</v>
      </c>
      <c r="B602" s="62" t="s">
        <v>255</v>
      </c>
      <c r="C602" s="63" t="s">
        <v>3598</v>
      </c>
      <c r="D602" s="64">
        <v>5.2631578947368425</v>
      </c>
      <c r="E602" s="65" t="s">
        <v>136</v>
      </c>
      <c r="F602" s="66">
        <v>31.50943396226415</v>
      </c>
      <c r="G602" s="63"/>
      <c r="H602" s="67"/>
      <c r="I602" s="68"/>
      <c r="J602" s="68"/>
      <c r="K602" s="31" t="s">
        <v>65</v>
      </c>
      <c r="L602" s="76">
        <v>602</v>
      </c>
      <c r="M602" s="76"/>
      <c r="N602" s="70"/>
      <c r="O602" s="78" t="s">
        <v>305</v>
      </c>
      <c r="P602" s="78" t="s">
        <v>370</v>
      </c>
      <c r="Q602" s="78" t="s">
        <v>789</v>
      </c>
      <c r="R602" s="78" t="s">
        <v>935</v>
      </c>
      <c r="S602" s="78"/>
      <c r="T602" s="78"/>
      <c r="U602" s="78"/>
      <c r="V602" s="78"/>
      <c r="W602" s="81" t="s">
        <v>1674</v>
      </c>
      <c r="X602" s="81" t="s">
        <v>1674</v>
      </c>
      <c r="Y602" s="78"/>
      <c r="Z602" s="78"/>
      <c r="AA602" s="81" t="s">
        <v>1674</v>
      </c>
      <c r="AB602" s="79">
        <v>2</v>
      </c>
      <c r="AC602" s="80" t="str">
        <f>REPLACE(INDEX(GroupVertices[Group],MATCH("~"&amp;Edges[[#This Row],[Vertex 1]],GroupVertices[Vertex],0)),1,1,"")</f>
        <v>1</v>
      </c>
      <c r="AD602" s="80" t="str">
        <f>REPLACE(INDEX(GroupVertices[Group],MATCH("~"&amp;Edges[[#This Row],[Vertex 2]],GroupVertices[Vertex],0)),1,1,"")</f>
        <v>1</v>
      </c>
      <c r="AE602" s="105"/>
      <c r="AF602" s="105"/>
      <c r="AG602" s="105"/>
      <c r="AH602" s="105"/>
      <c r="AI602" s="105"/>
      <c r="AJ602" s="105"/>
      <c r="AK602" s="105"/>
      <c r="AL602" s="105"/>
      <c r="AM602" s="105"/>
    </row>
    <row r="603" spans="1:39" ht="15">
      <c r="A603" s="62" t="s">
        <v>260</v>
      </c>
      <c r="B603" s="62" t="s">
        <v>255</v>
      </c>
      <c r="C603" s="63" t="s">
        <v>3598</v>
      </c>
      <c r="D603" s="64">
        <v>5.2631578947368425</v>
      </c>
      <c r="E603" s="65" t="s">
        <v>136</v>
      </c>
      <c r="F603" s="66">
        <v>31.50943396226415</v>
      </c>
      <c r="G603" s="63"/>
      <c r="H603" s="67"/>
      <c r="I603" s="68"/>
      <c r="J603" s="68"/>
      <c r="K603" s="31" t="s">
        <v>65</v>
      </c>
      <c r="L603" s="76">
        <v>603</v>
      </c>
      <c r="M603" s="76"/>
      <c r="N603" s="70"/>
      <c r="O603" s="78" t="s">
        <v>305</v>
      </c>
      <c r="P603" s="78" t="s">
        <v>501</v>
      </c>
      <c r="Q603" s="78" t="s">
        <v>995</v>
      </c>
      <c r="R603" s="78" t="s">
        <v>995</v>
      </c>
      <c r="S603" s="78"/>
      <c r="T603" s="78"/>
      <c r="U603" s="78"/>
      <c r="V603" s="78"/>
      <c r="W603" s="81" t="s">
        <v>1674</v>
      </c>
      <c r="X603" s="81" t="s">
        <v>1674</v>
      </c>
      <c r="Y603" s="78"/>
      <c r="Z603" s="78"/>
      <c r="AA603" s="81" t="s">
        <v>1674</v>
      </c>
      <c r="AB603" s="79">
        <v>2</v>
      </c>
      <c r="AC603" s="80" t="str">
        <f>REPLACE(INDEX(GroupVertices[Group],MATCH("~"&amp;Edges[[#This Row],[Vertex 1]],GroupVertices[Vertex],0)),1,1,"")</f>
        <v>1</v>
      </c>
      <c r="AD603" s="80" t="str">
        <f>REPLACE(INDEX(GroupVertices[Group],MATCH("~"&amp;Edges[[#This Row],[Vertex 2]],GroupVertices[Vertex],0)),1,1,"")</f>
        <v>1</v>
      </c>
      <c r="AE603" s="105"/>
      <c r="AF603" s="105"/>
      <c r="AG603" s="105"/>
      <c r="AH603" s="105"/>
      <c r="AI603" s="105"/>
      <c r="AJ603" s="105"/>
      <c r="AK603" s="105"/>
      <c r="AL603" s="105"/>
      <c r="AM603" s="105"/>
    </row>
    <row r="604" spans="1:39" ht="15">
      <c r="A604" s="62" t="s">
        <v>266</v>
      </c>
      <c r="B604" s="62" t="s">
        <v>255</v>
      </c>
      <c r="C604" s="63" t="s">
        <v>3598</v>
      </c>
      <c r="D604" s="64">
        <v>5.2631578947368425</v>
      </c>
      <c r="E604" s="65" t="s">
        <v>136</v>
      </c>
      <c r="F604" s="66">
        <v>31.50943396226415</v>
      </c>
      <c r="G604" s="63"/>
      <c r="H604" s="67"/>
      <c r="I604" s="68"/>
      <c r="J604" s="68"/>
      <c r="K604" s="31" t="s">
        <v>65</v>
      </c>
      <c r="L604" s="76">
        <v>604</v>
      </c>
      <c r="M604" s="76"/>
      <c r="N604" s="70"/>
      <c r="O604" s="78" t="s">
        <v>305</v>
      </c>
      <c r="P604" s="78" t="s">
        <v>380</v>
      </c>
      <c r="Q604" s="78" t="s">
        <v>790</v>
      </c>
      <c r="R604" s="78" t="s">
        <v>993</v>
      </c>
      <c r="S604" s="78"/>
      <c r="T604" s="78"/>
      <c r="U604" s="78"/>
      <c r="V604" s="78"/>
      <c r="W604" s="81" t="s">
        <v>1674</v>
      </c>
      <c r="X604" s="81" t="s">
        <v>1674</v>
      </c>
      <c r="Y604" s="78"/>
      <c r="Z604" s="78"/>
      <c r="AA604" s="81" t="s">
        <v>1674</v>
      </c>
      <c r="AB604" s="79">
        <v>2</v>
      </c>
      <c r="AC604" s="80" t="str">
        <f>REPLACE(INDEX(GroupVertices[Group],MATCH("~"&amp;Edges[[#This Row],[Vertex 1]],GroupVertices[Vertex],0)),1,1,"")</f>
        <v>1</v>
      </c>
      <c r="AD604" s="80" t="str">
        <f>REPLACE(INDEX(GroupVertices[Group],MATCH("~"&amp;Edges[[#This Row],[Vertex 2]],GroupVertices[Vertex],0)),1,1,"")</f>
        <v>1</v>
      </c>
      <c r="AE604" s="105"/>
      <c r="AF604" s="105"/>
      <c r="AG604" s="105"/>
      <c r="AH604" s="105"/>
      <c r="AI604" s="105"/>
      <c r="AJ604" s="105"/>
      <c r="AK604" s="105"/>
      <c r="AL604" s="105"/>
      <c r="AM604" s="105"/>
    </row>
    <row r="605" spans="1:39" ht="15">
      <c r="A605" s="62" t="s">
        <v>266</v>
      </c>
      <c r="B605" s="62" t="s">
        <v>255</v>
      </c>
      <c r="C605" s="63" t="s">
        <v>3598</v>
      </c>
      <c r="D605" s="64">
        <v>5.2631578947368425</v>
      </c>
      <c r="E605" s="65" t="s">
        <v>136</v>
      </c>
      <c r="F605" s="66">
        <v>31.50943396226415</v>
      </c>
      <c r="G605" s="63"/>
      <c r="H605" s="67"/>
      <c r="I605" s="68"/>
      <c r="J605" s="68"/>
      <c r="K605" s="31" t="s">
        <v>65</v>
      </c>
      <c r="L605" s="76">
        <v>605</v>
      </c>
      <c r="M605" s="76"/>
      <c r="N605" s="70"/>
      <c r="O605" s="78" t="s">
        <v>305</v>
      </c>
      <c r="P605" s="78" t="s">
        <v>499</v>
      </c>
      <c r="Q605" s="78" t="s">
        <v>1001</v>
      </c>
      <c r="R605" s="78" t="s">
        <v>992</v>
      </c>
      <c r="S605" s="78"/>
      <c r="T605" s="78"/>
      <c r="U605" s="78"/>
      <c r="V605" s="78"/>
      <c r="W605" s="81" t="s">
        <v>1674</v>
      </c>
      <c r="X605" s="81" t="s">
        <v>1674</v>
      </c>
      <c r="Y605" s="78"/>
      <c r="Z605" s="78"/>
      <c r="AA605" s="81" t="s">
        <v>1674</v>
      </c>
      <c r="AB605" s="79">
        <v>2</v>
      </c>
      <c r="AC605" s="80" t="str">
        <f>REPLACE(INDEX(GroupVertices[Group],MATCH("~"&amp;Edges[[#This Row],[Vertex 1]],GroupVertices[Vertex],0)),1,1,"")</f>
        <v>1</v>
      </c>
      <c r="AD605" s="80" t="str">
        <f>REPLACE(INDEX(GroupVertices[Group],MATCH("~"&amp;Edges[[#This Row],[Vertex 2]],GroupVertices[Vertex],0)),1,1,"")</f>
        <v>1</v>
      </c>
      <c r="AE605" s="105"/>
      <c r="AF605" s="105"/>
      <c r="AG605" s="105"/>
      <c r="AH605" s="105"/>
      <c r="AI605" s="105"/>
      <c r="AJ605" s="105"/>
      <c r="AK605" s="105"/>
      <c r="AL605" s="105"/>
      <c r="AM605" s="105"/>
    </row>
    <row r="606" spans="1:39" ht="15">
      <c r="A606" s="62" t="s">
        <v>267</v>
      </c>
      <c r="B606" s="62" t="s">
        <v>255</v>
      </c>
      <c r="C606" s="63" t="s">
        <v>3598</v>
      </c>
      <c r="D606" s="64">
        <v>5</v>
      </c>
      <c r="E606" s="65" t="s">
        <v>132</v>
      </c>
      <c r="F606" s="66">
        <v>32</v>
      </c>
      <c r="G606" s="63"/>
      <c r="H606" s="67"/>
      <c r="I606" s="68"/>
      <c r="J606" s="68"/>
      <c r="K606" s="31" t="s">
        <v>65</v>
      </c>
      <c r="L606" s="76">
        <v>606</v>
      </c>
      <c r="M606" s="76"/>
      <c r="N606" s="70"/>
      <c r="O606" s="78" t="s">
        <v>305</v>
      </c>
      <c r="P606" s="78" t="s">
        <v>501</v>
      </c>
      <c r="Q606" s="78" t="s">
        <v>995</v>
      </c>
      <c r="R606" s="78" t="s">
        <v>995</v>
      </c>
      <c r="S606" s="78"/>
      <c r="T606" s="78"/>
      <c r="U606" s="78"/>
      <c r="V606" s="78"/>
      <c r="W606" s="81" t="s">
        <v>1674</v>
      </c>
      <c r="X606" s="81" t="s">
        <v>1674</v>
      </c>
      <c r="Y606" s="78"/>
      <c r="Z606" s="78"/>
      <c r="AA606" s="81" t="s">
        <v>1674</v>
      </c>
      <c r="AB606" s="79">
        <v>1</v>
      </c>
      <c r="AC606" s="80" t="str">
        <f>REPLACE(INDEX(GroupVertices[Group],MATCH("~"&amp;Edges[[#This Row],[Vertex 1]],GroupVertices[Vertex],0)),1,1,"")</f>
        <v>1</v>
      </c>
      <c r="AD606" s="80" t="str">
        <f>REPLACE(INDEX(GroupVertices[Group],MATCH("~"&amp;Edges[[#This Row],[Vertex 2]],GroupVertices[Vertex],0)),1,1,"")</f>
        <v>1</v>
      </c>
      <c r="AE606" s="105"/>
      <c r="AF606" s="105"/>
      <c r="AG606" s="105"/>
      <c r="AH606" s="105"/>
      <c r="AI606" s="105"/>
      <c r="AJ606" s="105"/>
      <c r="AK606" s="105"/>
      <c r="AL606" s="105"/>
      <c r="AM606" s="105"/>
    </row>
    <row r="607" spans="1:39" ht="15">
      <c r="A607" s="62" t="s">
        <v>277</v>
      </c>
      <c r="B607" s="62" t="s">
        <v>255</v>
      </c>
      <c r="C607" s="63" t="s">
        <v>3598</v>
      </c>
      <c r="D607" s="64">
        <v>5</v>
      </c>
      <c r="E607" s="65" t="s">
        <v>132</v>
      </c>
      <c r="F607" s="66">
        <v>32</v>
      </c>
      <c r="G607" s="63"/>
      <c r="H607" s="67"/>
      <c r="I607" s="68"/>
      <c r="J607" s="68"/>
      <c r="K607" s="31" t="s">
        <v>65</v>
      </c>
      <c r="L607" s="76">
        <v>607</v>
      </c>
      <c r="M607" s="76"/>
      <c r="N607" s="70"/>
      <c r="O607" s="78" t="s">
        <v>305</v>
      </c>
      <c r="P607" s="78" t="s">
        <v>501</v>
      </c>
      <c r="Q607" s="78" t="s">
        <v>1002</v>
      </c>
      <c r="R607" s="78" t="s">
        <v>995</v>
      </c>
      <c r="S607" s="78"/>
      <c r="T607" s="78"/>
      <c r="U607" s="78"/>
      <c r="V607" s="78"/>
      <c r="W607" s="81" t="s">
        <v>1674</v>
      </c>
      <c r="X607" s="81" t="s">
        <v>1674</v>
      </c>
      <c r="Y607" s="78"/>
      <c r="Z607" s="78"/>
      <c r="AA607" s="81" t="s">
        <v>1674</v>
      </c>
      <c r="AB607" s="79">
        <v>1</v>
      </c>
      <c r="AC607" s="80" t="str">
        <f>REPLACE(INDEX(GroupVertices[Group],MATCH("~"&amp;Edges[[#This Row],[Vertex 1]],GroupVertices[Vertex],0)),1,1,"")</f>
        <v>1</v>
      </c>
      <c r="AD607" s="80" t="str">
        <f>REPLACE(INDEX(GroupVertices[Group],MATCH("~"&amp;Edges[[#This Row],[Vertex 2]],GroupVertices[Vertex],0)),1,1,"")</f>
        <v>1</v>
      </c>
      <c r="AE607" s="105"/>
      <c r="AF607" s="105"/>
      <c r="AG607" s="105"/>
      <c r="AH607" s="105"/>
      <c r="AI607" s="105"/>
      <c r="AJ607" s="105"/>
      <c r="AK607" s="105"/>
      <c r="AL607" s="105"/>
      <c r="AM607" s="105"/>
    </row>
    <row r="608" spans="1:39" ht="15">
      <c r="A608" s="62" t="s">
        <v>280</v>
      </c>
      <c r="B608" s="62" t="s">
        <v>255</v>
      </c>
      <c r="C608" s="63" t="s">
        <v>3598</v>
      </c>
      <c r="D608" s="64">
        <v>5</v>
      </c>
      <c r="E608" s="65" t="s">
        <v>132</v>
      </c>
      <c r="F608" s="66">
        <v>32</v>
      </c>
      <c r="G608" s="63"/>
      <c r="H608" s="67"/>
      <c r="I608" s="68"/>
      <c r="J608" s="68"/>
      <c r="K608" s="31" t="s">
        <v>65</v>
      </c>
      <c r="L608" s="76">
        <v>608</v>
      </c>
      <c r="M608" s="76"/>
      <c r="N608" s="70"/>
      <c r="O608" s="78" t="s">
        <v>305</v>
      </c>
      <c r="P608" s="78" t="s">
        <v>505</v>
      </c>
      <c r="Q608" s="78" t="s">
        <v>1003</v>
      </c>
      <c r="R608" s="78" t="s">
        <v>1479</v>
      </c>
      <c r="S608" s="78"/>
      <c r="T608" s="78"/>
      <c r="U608" s="78"/>
      <c r="V608" s="78"/>
      <c r="W608" s="81" t="s">
        <v>1674</v>
      </c>
      <c r="X608" s="81" t="s">
        <v>1674</v>
      </c>
      <c r="Y608" s="78"/>
      <c r="Z608" s="78"/>
      <c r="AA608" s="81" t="s">
        <v>1674</v>
      </c>
      <c r="AB608" s="79">
        <v>1</v>
      </c>
      <c r="AC608" s="80" t="str">
        <f>REPLACE(INDEX(GroupVertices[Group],MATCH("~"&amp;Edges[[#This Row],[Vertex 1]],GroupVertices[Vertex],0)),1,1,"")</f>
        <v>3</v>
      </c>
      <c r="AD608" s="80" t="str">
        <f>REPLACE(INDEX(GroupVertices[Group],MATCH("~"&amp;Edges[[#This Row],[Vertex 2]],GroupVertices[Vertex],0)),1,1,"")</f>
        <v>1</v>
      </c>
      <c r="AE608" s="105"/>
      <c r="AF608" s="105"/>
      <c r="AG608" s="105"/>
      <c r="AH608" s="105"/>
      <c r="AI608" s="105"/>
      <c r="AJ608" s="105"/>
      <c r="AK608" s="105"/>
      <c r="AL608" s="105"/>
      <c r="AM608" s="105"/>
    </row>
    <row r="609" spans="1:39" ht="15">
      <c r="A609" s="62" t="s">
        <v>284</v>
      </c>
      <c r="B609" s="62" t="s">
        <v>255</v>
      </c>
      <c r="C609" s="63" t="s">
        <v>3598</v>
      </c>
      <c r="D609" s="64">
        <v>5</v>
      </c>
      <c r="E609" s="65" t="s">
        <v>132</v>
      </c>
      <c r="F609" s="66">
        <v>32</v>
      </c>
      <c r="G609" s="63"/>
      <c r="H609" s="67"/>
      <c r="I609" s="68"/>
      <c r="J609" s="68"/>
      <c r="K609" s="31" t="s">
        <v>65</v>
      </c>
      <c r="L609" s="76">
        <v>609</v>
      </c>
      <c r="M609" s="76"/>
      <c r="N609" s="70"/>
      <c r="O609" s="78" t="s">
        <v>305</v>
      </c>
      <c r="P609" s="78" t="s">
        <v>501</v>
      </c>
      <c r="Q609" s="78" t="s">
        <v>1002</v>
      </c>
      <c r="R609" s="78" t="s">
        <v>995</v>
      </c>
      <c r="S609" s="78"/>
      <c r="T609" s="78"/>
      <c r="U609" s="78"/>
      <c r="V609" s="78"/>
      <c r="W609" s="81" t="s">
        <v>1674</v>
      </c>
      <c r="X609" s="81" t="s">
        <v>1674</v>
      </c>
      <c r="Y609" s="78"/>
      <c r="Z609" s="78"/>
      <c r="AA609" s="81" t="s">
        <v>1674</v>
      </c>
      <c r="AB609" s="79">
        <v>1</v>
      </c>
      <c r="AC609" s="80" t="str">
        <f>REPLACE(INDEX(GroupVertices[Group],MATCH("~"&amp;Edges[[#This Row],[Vertex 1]],GroupVertices[Vertex],0)),1,1,"")</f>
        <v>1</v>
      </c>
      <c r="AD609" s="80" t="str">
        <f>REPLACE(INDEX(GroupVertices[Group],MATCH("~"&amp;Edges[[#This Row],[Vertex 2]],GroupVertices[Vertex],0)),1,1,"")</f>
        <v>1</v>
      </c>
      <c r="AE609" s="105"/>
      <c r="AF609" s="105"/>
      <c r="AG609" s="105"/>
      <c r="AH609" s="105"/>
      <c r="AI609" s="105"/>
      <c r="AJ609" s="105"/>
      <c r="AK609" s="105"/>
      <c r="AL609" s="105"/>
      <c r="AM609" s="105"/>
    </row>
    <row r="610" spans="1:39" ht="15">
      <c r="A610" s="62" t="s">
        <v>257</v>
      </c>
      <c r="B610" s="62" t="s">
        <v>242</v>
      </c>
      <c r="C610" s="63" t="s">
        <v>3598</v>
      </c>
      <c r="D610" s="64">
        <v>5</v>
      </c>
      <c r="E610" s="65" t="s">
        <v>132</v>
      </c>
      <c r="F610" s="66">
        <v>32</v>
      </c>
      <c r="G610" s="63"/>
      <c r="H610" s="67"/>
      <c r="I610" s="68"/>
      <c r="J610" s="68"/>
      <c r="K610" s="31" t="s">
        <v>65</v>
      </c>
      <c r="L610" s="76">
        <v>610</v>
      </c>
      <c r="M610" s="76"/>
      <c r="N610" s="70"/>
      <c r="O610" s="78" t="s">
        <v>305</v>
      </c>
      <c r="P610" s="78" t="s">
        <v>443</v>
      </c>
      <c r="Q610" s="78" t="s">
        <v>953</v>
      </c>
      <c r="R610" s="78" t="s">
        <v>1417</v>
      </c>
      <c r="S610" s="78"/>
      <c r="T610" s="78"/>
      <c r="U610" s="78"/>
      <c r="V610" s="78"/>
      <c r="W610" s="81" t="s">
        <v>1674</v>
      </c>
      <c r="X610" s="81" t="s">
        <v>1674</v>
      </c>
      <c r="Y610" s="78"/>
      <c r="Z610" s="78"/>
      <c r="AA610" s="81" t="s">
        <v>1674</v>
      </c>
      <c r="AB610" s="79">
        <v>1</v>
      </c>
      <c r="AC610" s="80" t="str">
        <f>REPLACE(INDEX(GroupVertices[Group],MATCH("~"&amp;Edges[[#This Row],[Vertex 1]],GroupVertices[Vertex],0)),1,1,"")</f>
        <v>1</v>
      </c>
      <c r="AD610" s="80" t="str">
        <f>REPLACE(INDEX(GroupVertices[Group],MATCH("~"&amp;Edges[[#This Row],[Vertex 2]],GroupVertices[Vertex],0)),1,1,"")</f>
        <v>5</v>
      </c>
      <c r="AE610" s="105"/>
      <c r="AF610" s="105"/>
      <c r="AG610" s="105"/>
      <c r="AH610" s="105"/>
      <c r="AI610" s="105"/>
      <c r="AJ610" s="105"/>
      <c r="AK610" s="105"/>
      <c r="AL610" s="105"/>
      <c r="AM610" s="105"/>
    </row>
    <row r="611" spans="1:39" ht="15">
      <c r="A611" s="62" t="s">
        <v>257</v>
      </c>
      <c r="B611" s="62" t="s">
        <v>256</v>
      </c>
      <c r="C611" s="63" t="s">
        <v>3598</v>
      </c>
      <c r="D611" s="64">
        <v>5</v>
      </c>
      <c r="E611" s="65" t="s">
        <v>132</v>
      </c>
      <c r="F611" s="66">
        <v>32</v>
      </c>
      <c r="G611" s="63"/>
      <c r="H611" s="67"/>
      <c r="I611" s="68"/>
      <c r="J611" s="68"/>
      <c r="K611" s="31" t="s">
        <v>65</v>
      </c>
      <c r="L611" s="76">
        <v>611</v>
      </c>
      <c r="M611" s="76"/>
      <c r="N611" s="70"/>
      <c r="O611" s="78" t="s">
        <v>305</v>
      </c>
      <c r="P611" s="78" t="s">
        <v>501</v>
      </c>
      <c r="Q611" s="78" t="s">
        <v>998</v>
      </c>
      <c r="R611" s="78" t="s">
        <v>995</v>
      </c>
      <c r="S611" s="78"/>
      <c r="T611" s="78"/>
      <c r="U611" s="78"/>
      <c r="V611" s="78"/>
      <c r="W611" s="81" t="s">
        <v>1674</v>
      </c>
      <c r="X611" s="81" t="s">
        <v>1674</v>
      </c>
      <c r="Y611" s="78"/>
      <c r="Z611" s="78"/>
      <c r="AA611" s="81" t="s">
        <v>1674</v>
      </c>
      <c r="AB611" s="79">
        <v>1</v>
      </c>
      <c r="AC611" s="80" t="str">
        <f>REPLACE(INDEX(GroupVertices[Group],MATCH("~"&amp;Edges[[#This Row],[Vertex 1]],GroupVertices[Vertex],0)),1,1,"")</f>
        <v>1</v>
      </c>
      <c r="AD611" s="80" t="str">
        <f>REPLACE(INDEX(GroupVertices[Group],MATCH("~"&amp;Edges[[#This Row],[Vertex 2]],GroupVertices[Vertex],0)),1,1,"")</f>
        <v>1</v>
      </c>
      <c r="AE611" s="105"/>
      <c r="AF611" s="105"/>
      <c r="AG611" s="105"/>
      <c r="AH611" s="105"/>
      <c r="AI611" s="105"/>
      <c r="AJ611" s="105"/>
      <c r="AK611" s="105"/>
      <c r="AL611" s="105"/>
      <c r="AM611" s="105"/>
    </row>
    <row r="612" spans="1:39" ht="15">
      <c r="A612" s="62" t="s">
        <v>258</v>
      </c>
      <c r="B612" s="62" t="s">
        <v>257</v>
      </c>
      <c r="C612" s="63" t="s">
        <v>3598</v>
      </c>
      <c r="D612" s="64">
        <v>5</v>
      </c>
      <c r="E612" s="65" t="s">
        <v>132</v>
      </c>
      <c r="F612" s="66">
        <v>32</v>
      </c>
      <c r="G612" s="63"/>
      <c r="H612" s="67"/>
      <c r="I612" s="68"/>
      <c r="J612" s="68"/>
      <c r="K612" s="31" t="s">
        <v>65</v>
      </c>
      <c r="L612" s="76">
        <v>612</v>
      </c>
      <c r="M612" s="76"/>
      <c r="N612" s="70"/>
      <c r="O612" s="78" t="s">
        <v>305</v>
      </c>
      <c r="P612" s="78" t="s">
        <v>501</v>
      </c>
      <c r="Q612" s="78" t="s">
        <v>999</v>
      </c>
      <c r="R612" s="78" t="s">
        <v>998</v>
      </c>
      <c r="S612" s="78"/>
      <c r="T612" s="78"/>
      <c r="U612" s="78"/>
      <c r="V612" s="78"/>
      <c r="W612" s="81" t="s">
        <v>1674</v>
      </c>
      <c r="X612" s="81" t="s">
        <v>1674</v>
      </c>
      <c r="Y612" s="78"/>
      <c r="Z612" s="78"/>
      <c r="AA612" s="81" t="s">
        <v>1674</v>
      </c>
      <c r="AB612" s="79">
        <v>1</v>
      </c>
      <c r="AC612" s="80" t="str">
        <f>REPLACE(INDEX(GroupVertices[Group],MATCH("~"&amp;Edges[[#This Row],[Vertex 1]],GroupVertices[Vertex],0)),1,1,"")</f>
        <v>1</v>
      </c>
      <c r="AD612" s="80" t="str">
        <f>REPLACE(INDEX(GroupVertices[Group],MATCH("~"&amp;Edges[[#This Row],[Vertex 2]],GroupVertices[Vertex],0)),1,1,"")</f>
        <v>1</v>
      </c>
      <c r="AE612" s="105"/>
      <c r="AF612" s="105"/>
      <c r="AG612" s="105"/>
      <c r="AH612" s="105"/>
      <c r="AI612" s="105"/>
      <c r="AJ612" s="105"/>
      <c r="AK612" s="105"/>
      <c r="AL612" s="105"/>
      <c r="AM612" s="105"/>
    </row>
    <row r="613" spans="1:39" ht="15">
      <c r="A613" s="62" t="s">
        <v>235</v>
      </c>
      <c r="B613" s="62" t="s">
        <v>257</v>
      </c>
      <c r="C613" s="63" t="s">
        <v>3598</v>
      </c>
      <c r="D613" s="64">
        <v>5.2631578947368425</v>
      </c>
      <c r="E613" s="65" t="s">
        <v>136</v>
      </c>
      <c r="F613" s="66">
        <v>31.50943396226415</v>
      </c>
      <c r="G613" s="63"/>
      <c r="H613" s="67"/>
      <c r="I613" s="68"/>
      <c r="J613" s="68"/>
      <c r="K613" s="31" t="s">
        <v>65</v>
      </c>
      <c r="L613" s="76">
        <v>613</v>
      </c>
      <c r="M613" s="76"/>
      <c r="N613" s="70"/>
      <c r="O613" s="78" t="s">
        <v>305</v>
      </c>
      <c r="P613" s="78" t="s">
        <v>446</v>
      </c>
      <c r="Q613" s="78" t="s">
        <v>1004</v>
      </c>
      <c r="R613" s="78" t="s">
        <v>1420</v>
      </c>
      <c r="S613" s="78"/>
      <c r="T613" s="78"/>
      <c r="U613" s="78"/>
      <c r="V613" s="78"/>
      <c r="W613" s="81" t="s">
        <v>1674</v>
      </c>
      <c r="X613" s="81" t="s">
        <v>1674</v>
      </c>
      <c r="Y613" s="78"/>
      <c r="Z613" s="78"/>
      <c r="AA613" s="81" t="s">
        <v>1674</v>
      </c>
      <c r="AB613" s="79">
        <v>2</v>
      </c>
      <c r="AC613" s="80" t="str">
        <f>REPLACE(INDEX(GroupVertices[Group],MATCH("~"&amp;Edges[[#This Row],[Vertex 1]],GroupVertices[Vertex],0)),1,1,"")</f>
        <v>1</v>
      </c>
      <c r="AD613" s="80" t="str">
        <f>REPLACE(INDEX(GroupVertices[Group],MATCH("~"&amp;Edges[[#This Row],[Vertex 2]],GroupVertices[Vertex],0)),1,1,"")</f>
        <v>1</v>
      </c>
      <c r="AE613" s="105"/>
      <c r="AF613" s="105"/>
      <c r="AG613" s="105"/>
      <c r="AH613" s="105"/>
      <c r="AI613" s="105"/>
      <c r="AJ613" s="105"/>
      <c r="AK613" s="105"/>
      <c r="AL613" s="105"/>
      <c r="AM613" s="105"/>
    </row>
    <row r="614" spans="1:39" ht="15">
      <c r="A614" s="62" t="s">
        <v>235</v>
      </c>
      <c r="B614" s="62" t="s">
        <v>257</v>
      </c>
      <c r="C614" s="63" t="s">
        <v>3598</v>
      </c>
      <c r="D614" s="64">
        <v>5.2631578947368425</v>
      </c>
      <c r="E614" s="65" t="s">
        <v>136</v>
      </c>
      <c r="F614" s="66">
        <v>31.50943396226415</v>
      </c>
      <c r="G614" s="63"/>
      <c r="H614" s="67"/>
      <c r="I614" s="68"/>
      <c r="J614" s="68"/>
      <c r="K614" s="31" t="s">
        <v>65</v>
      </c>
      <c r="L614" s="76">
        <v>614</v>
      </c>
      <c r="M614" s="76"/>
      <c r="N614" s="70"/>
      <c r="O614" s="78" t="s">
        <v>305</v>
      </c>
      <c r="P614" s="78" t="s">
        <v>501</v>
      </c>
      <c r="Q614" s="78" t="s">
        <v>995</v>
      </c>
      <c r="R614" s="78" t="s">
        <v>998</v>
      </c>
      <c r="S614" s="78"/>
      <c r="T614" s="78"/>
      <c r="U614" s="78"/>
      <c r="V614" s="78"/>
      <c r="W614" s="81" t="s">
        <v>1674</v>
      </c>
      <c r="X614" s="81" t="s">
        <v>1674</v>
      </c>
      <c r="Y614" s="78"/>
      <c r="Z614" s="78"/>
      <c r="AA614" s="81" t="s">
        <v>1674</v>
      </c>
      <c r="AB614" s="79">
        <v>2</v>
      </c>
      <c r="AC614" s="80" t="str">
        <f>REPLACE(INDEX(GroupVertices[Group],MATCH("~"&amp;Edges[[#This Row],[Vertex 1]],GroupVertices[Vertex],0)),1,1,"")</f>
        <v>1</v>
      </c>
      <c r="AD614" s="80" t="str">
        <f>REPLACE(INDEX(GroupVertices[Group],MATCH("~"&amp;Edges[[#This Row],[Vertex 2]],GroupVertices[Vertex],0)),1,1,"")</f>
        <v>1</v>
      </c>
      <c r="AE614" s="105"/>
      <c r="AF614" s="105"/>
      <c r="AG614" s="105"/>
      <c r="AH614" s="105"/>
      <c r="AI614" s="105"/>
      <c r="AJ614" s="105"/>
      <c r="AK614" s="105"/>
      <c r="AL614" s="105"/>
      <c r="AM614" s="105"/>
    </row>
    <row r="615" spans="1:39" ht="15">
      <c r="A615" s="62" t="s">
        <v>260</v>
      </c>
      <c r="B615" s="62" t="s">
        <v>257</v>
      </c>
      <c r="C615" s="63" t="s">
        <v>3598</v>
      </c>
      <c r="D615" s="64">
        <v>5.2631578947368425</v>
      </c>
      <c r="E615" s="65" t="s">
        <v>136</v>
      </c>
      <c r="F615" s="66">
        <v>31.50943396226415</v>
      </c>
      <c r="G615" s="63"/>
      <c r="H615" s="67"/>
      <c r="I615" s="68"/>
      <c r="J615" s="68"/>
      <c r="K615" s="31" t="s">
        <v>65</v>
      </c>
      <c r="L615" s="76">
        <v>615</v>
      </c>
      <c r="M615" s="76"/>
      <c r="N615" s="70"/>
      <c r="O615" s="78" t="s">
        <v>305</v>
      </c>
      <c r="P615" s="78" t="s">
        <v>446</v>
      </c>
      <c r="Q615" s="78" t="s">
        <v>1005</v>
      </c>
      <c r="R615" s="78" t="s">
        <v>1420</v>
      </c>
      <c r="S615" s="78"/>
      <c r="T615" s="78"/>
      <c r="U615" s="78"/>
      <c r="V615" s="78"/>
      <c r="W615" s="81" t="s">
        <v>1674</v>
      </c>
      <c r="X615" s="81" t="s">
        <v>1674</v>
      </c>
      <c r="Y615" s="78"/>
      <c r="Z615" s="78"/>
      <c r="AA615" s="81" t="s">
        <v>1674</v>
      </c>
      <c r="AB615" s="79">
        <v>2</v>
      </c>
      <c r="AC615" s="80" t="str">
        <f>REPLACE(INDEX(GroupVertices[Group],MATCH("~"&amp;Edges[[#This Row],[Vertex 1]],GroupVertices[Vertex],0)),1,1,"")</f>
        <v>1</v>
      </c>
      <c r="AD615" s="80" t="str">
        <f>REPLACE(INDEX(GroupVertices[Group],MATCH("~"&amp;Edges[[#This Row],[Vertex 2]],GroupVertices[Vertex],0)),1,1,"")</f>
        <v>1</v>
      </c>
      <c r="AE615" s="105"/>
      <c r="AF615" s="105"/>
      <c r="AG615" s="105"/>
      <c r="AH615" s="105"/>
      <c r="AI615" s="105"/>
      <c r="AJ615" s="105"/>
      <c r="AK615" s="105"/>
      <c r="AL615" s="105"/>
      <c r="AM615" s="105"/>
    </row>
    <row r="616" spans="1:39" ht="15">
      <c r="A616" s="62" t="s">
        <v>260</v>
      </c>
      <c r="B616" s="62" t="s">
        <v>257</v>
      </c>
      <c r="C616" s="63" t="s">
        <v>3598</v>
      </c>
      <c r="D616" s="64">
        <v>5.2631578947368425</v>
      </c>
      <c r="E616" s="65" t="s">
        <v>136</v>
      </c>
      <c r="F616" s="66">
        <v>31.50943396226415</v>
      </c>
      <c r="G616" s="63"/>
      <c r="H616" s="67"/>
      <c r="I616" s="68"/>
      <c r="J616" s="68"/>
      <c r="K616" s="31" t="s">
        <v>65</v>
      </c>
      <c r="L616" s="76">
        <v>616</v>
      </c>
      <c r="M616" s="76"/>
      <c r="N616" s="70"/>
      <c r="O616" s="78" t="s">
        <v>305</v>
      </c>
      <c r="P616" s="78" t="s">
        <v>501</v>
      </c>
      <c r="Q616" s="78" t="s">
        <v>995</v>
      </c>
      <c r="R616" s="78" t="s">
        <v>998</v>
      </c>
      <c r="S616" s="78"/>
      <c r="T616" s="78"/>
      <c r="U616" s="78"/>
      <c r="V616" s="78"/>
      <c r="W616" s="81" t="s">
        <v>1674</v>
      </c>
      <c r="X616" s="81" t="s">
        <v>1674</v>
      </c>
      <c r="Y616" s="78"/>
      <c r="Z616" s="78"/>
      <c r="AA616" s="81" t="s">
        <v>1674</v>
      </c>
      <c r="AB616" s="79">
        <v>2</v>
      </c>
      <c r="AC616" s="80" t="str">
        <f>REPLACE(INDEX(GroupVertices[Group],MATCH("~"&amp;Edges[[#This Row],[Vertex 1]],GroupVertices[Vertex],0)),1,1,"")</f>
        <v>1</v>
      </c>
      <c r="AD616" s="80" t="str">
        <f>REPLACE(INDEX(GroupVertices[Group],MATCH("~"&amp;Edges[[#This Row],[Vertex 2]],GroupVertices[Vertex],0)),1,1,"")</f>
        <v>1</v>
      </c>
      <c r="AE616" s="105"/>
      <c r="AF616" s="105"/>
      <c r="AG616" s="105"/>
      <c r="AH616" s="105"/>
      <c r="AI616" s="105"/>
      <c r="AJ616" s="105"/>
      <c r="AK616" s="105"/>
      <c r="AL616" s="105"/>
      <c r="AM616" s="105"/>
    </row>
    <row r="617" spans="1:39" ht="15">
      <c r="A617" s="62" t="s">
        <v>266</v>
      </c>
      <c r="B617" s="62" t="s">
        <v>257</v>
      </c>
      <c r="C617" s="63" t="s">
        <v>3598</v>
      </c>
      <c r="D617" s="64">
        <v>5</v>
      </c>
      <c r="E617" s="65" t="s">
        <v>132</v>
      </c>
      <c r="F617" s="66">
        <v>32</v>
      </c>
      <c r="G617" s="63"/>
      <c r="H617" s="67"/>
      <c r="I617" s="68"/>
      <c r="J617" s="68"/>
      <c r="K617" s="31" t="s">
        <v>65</v>
      </c>
      <c r="L617" s="76">
        <v>617</v>
      </c>
      <c r="M617" s="76"/>
      <c r="N617" s="70"/>
      <c r="O617" s="78" t="s">
        <v>305</v>
      </c>
      <c r="P617" s="78" t="s">
        <v>506</v>
      </c>
      <c r="Q617" s="78" t="s">
        <v>1006</v>
      </c>
      <c r="R617" s="78" t="s">
        <v>1480</v>
      </c>
      <c r="S617" s="78"/>
      <c r="T617" s="78"/>
      <c r="U617" s="78"/>
      <c r="V617" s="78"/>
      <c r="W617" s="81" t="s">
        <v>1674</v>
      </c>
      <c r="X617" s="81" t="s">
        <v>1674</v>
      </c>
      <c r="Y617" s="78"/>
      <c r="Z617" s="78"/>
      <c r="AA617" s="81" t="s">
        <v>1674</v>
      </c>
      <c r="AB617" s="79">
        <v>1</v>
      </c>
      <c r="AC617" s="80" t="str">
        <f>REPLACE(INDEX(GroupVertices[Group],MATCH("~"&amp;Edges[[#This Row],[Vertex 1]],GroupVertices[Vertex],0)),1,1,"")</f>
        <v>1</v>
      </c>
      <c r="AD617" s="80" t="str">
        <f>REPLACE(INDEX(GroupVertices[Group],MATCH("~"&amp;Edges[[#This Row],[Vertex 2]],GroupVertices[Vertex],0)),1,1,"")</f>
        <v>1</v>
      </c>
      <c r="AE617" s="105"/>
      <c r="AF617" s="105"/>
      <c r="AG617" s="105"/>
      <c r="AH617" s="105"/>
      <c r="AI617" s="105"/>
      <c r="AJ617" s="105"/>
      <c r="AK617" s="105"/>
      <c r="AL617" s="105"/>
      <c r="AM617" s="105"/>
    </row>
    <row r="618" spans="1:39" ht="15">
      <c r="A618" s="62" t="s">
        <v>267</v>
      </c>
      <c r="B618" s="62" t="s">
        <v>257</v>
      </c>
      <c r="C618" s="63" t="s">
        <v>3598</v>
      </c>
      <c r="D618" s="64">
        <v>5.2631578947368425</v>
      </c>
      <c r="E618" s="65" t="s">
        <v>136</v>
      </c>
      <c r="F618" s="66">
        <v>31.50943396226415</v>
      </c>
      <c r="G618" s="63"/>
      <c r="H618" s="67"/>
      <c r="I618" s="68"/>
      <c r="J618" s="68"/>
      <c r="K618" s="31" t="s">
        <v>65</v>
      </c>
      <c r="L618" s="76">
        <v>618</v>
      </c>
      <c r="M618" s="76"/>
      <c r="N618" s="70"/>
      <c r="O618" s="78" t="s">
        <v>305</v>
      </c>
      <c r="P618" s="78" t="s">
        <v>446</v>
      </c>
      <c r="Q618" s="78" t="s">
        <v>1007</v>
      </c>
      <c r="R618" s="78" t="s">
        <v>1420</v>
      </c>
      <c r="S618" s="78"/>
      <c r="T618" s="78"/>
      <c r="U618" s="78"/>
      <c r="V618" s="78"/>
      <c r="W618" s="81" t="s">
        <v>1674</v>
      </c>
      <c r="X618" s="81" t="s">
        <v>1674</v>
      </c>
      <c r="Y618" s="78"/>
      <c r="Z618" s="78"/>
      <c r="AA618" s="81" t="s">
        <v>1674</v>
      </c>
      <c r="AB618" s="79">
        <v>2</v>
      </c>
      <c r="AC618" s="80" t="str">
        <f>REPLACE(INDEX(GroupVertices[Group],MATCH("~"&amp;Edges[[#This Row],[Vertex 1]],GroupVertices[Vertex],0)),1,1,"")</f>
        <v>1</v>
      </c>
      <c r="AD618" s="80" t="str">
        <f>REPLACE(INDEX(GroupVertices[Group],MATCH("~"&amp;Edges[[#This Row],[Vertex 2]],GroupVertices[Vertex],0)),1,1,"")</f>
        <v>1</v>
      </c>
      <c r="AE618" s="105"/>
      <c r="AF618" s="105"/>
      <c r="AG618" s="105"/>
      <c r="AH618" s="105"/>
      <c r="AI618" s="105"/>
      <c r="AJ618" s="105"/>
      <c r="AK618" s="105"/>
      <c r="AL618" s="105"/>
      <c r="AM618" s="105"/>
    </row>
    <row r="619" spans="1:39" ht="15">
      <c r="A619" s="62" t="s">
        <v>267</v>
      </c>
      <c r="B619" s="62" t="s">
        <v>257</v>
      </c>
      <c r="C619" s="63" t="s">
        <v>3598</v>
      </c>
      <c r="D619" s="64">
        <v>5.2631578947368425</v>
      </c>
      <c r="E619" s="65" t="s">
        <v>136</v>
      </c>
      <c r="F619" s="66">
        <v>31.50943396226415</v>
      </c>
      <c r="G619" s="63"/>
      <c r="H619" s="67"/>
      <c r="I619" s="68"/>
      <c r="J619" s="68"/>
      <c r="K619" s="31" t="s">
        <v>65</v>
      </c>
      <c r="L619" s="76">
        <v>619</v>
      </c>
      <c r="M619" s="76"/>
      <c r="N619" s="70"/>
      <c r="O619" s="78" t="s">
        <v>305</v>
      </c>
      <c r="P619" s="78" t="s">
        <v>501</v>
      </c>
      <c r="Q619" s="78" t="s">
        <v>995</v>
      </c>
      <c r="R619" s="78" t="s">
        <v>998</v>
      </c>
      <c r="S619" s="78"/>
      <c r="T619" s="78"/>
      <c r="U619" s="78"/>
      <c r="V619" s="78"/>
      <c r="W619" s="81" t="s">
        <v>1674</v>
      </c>
      <c r="X619" s="81" t="s">
        <v>1674</v>
      </c>
      <c r="Y619" s="78"/>
      <c r="Z619" s="78"/>
      <c r="AA619" s="81" t="s">
        <v>1674</v>
      </c>
      <c r="AB619" s="79">
        <v>2</v>
      </c>
      <c r="AC619" s="80" t="str">
        <f>REPLACE(INDEX(GroupVertices[Group],MATCH("~"&amp;Edges[[#This Row],[Vertex 1]],GroupVertices[Vertex],0)),1,1,"")</f>
        <v>1</v>
      </c>
      <c r="AD619" s="80" t="str">
        <f>REPLACE(INDEX(GroupVertices[Group],MATCH("~"&amp;Edges[[#This Row],[Vertex 2]],GroupVertices[Vertex],0)),1,1,"")</f>
        <v>1</v>
      </c>
      <c r="AE619" s="105"/>
      <c r="AF619" s="105"/>
      <c r="AG619" s="105"/>
      <c r="AH619" s="105"/>
      <c r="AI619" s="105"/>
      <c r="AJ619" s="105"/>
      <c r="AK619" s="105"/>
      <c r="AL619" s="105"/>
      <c r="AM619" s="105"/>
    </row>
    <row r="620" spans="1:39" ht="15">
      <c r="A620" s="62" t="s">
        <v>277</v>
      </c>
      <c r="B620" s="62" t="s">
        <v>257</v>
      </c>
      <c r="C620" s="63" t="s">
        <v>3602</v>
      </c>
      <c r="D620" s="64">
        <v>5.526315789473684</v>
      </c>
      <c r="E620" s="65" t="s">
        <v>136</v>
      </c>
      <c r="F620" s="66">
        <v>31.0188679245283</v>
      </c>
      <c r="G620" s="63"/>
      <c r="H620" s="67"/>
      <c r="I620" s="68"/>
      <c r="J620" s="68"/>
      <c r="K620" s="31" t="s">
        <v>65</v>
      </c>
      <c r="L620" s="76">
        <v>620</v>
      </c>
      <c r="M620" s="76"/>
      <c r="N620" s="70"/>
      <c r="O620" s="78" t="s">
        <v>305</v>
      </c>
      <c r="P620" s="78" t="s">
        <v>501</v>
      </c>
      <c r="Q620" s="78" t="s">
        <v>1002</v>
      </c>
      <c r="R620" s="78" t="s">
        <v>998</v>
      </c>
      <c r="S620" s="78"/>
      <c r="T620" s="78"/>
      <c r="U620" s="78"/>
      <c r="V620" s="78"/>
      <c r="W620" s="81" t="s">
        <v>1674</v>
      </c>
      <c r="X620" s="81" t="s">
        <v>1674</v>
      </c>
      <c r="Y620" s="78"/>
      <c r="Z620" s="78"/>
      <c r="AA620" s="81" t="s">
        <v>1674</v>
      </c>
      <c r="AB620" s="79">
        <v>3</v>
      </c>
      <c r="AC620" s="80" t="str">
        <f>REPLACE(INDEX(GroupVertices[Group],MATCH("~"&amp;Edges[[#This Row],[Vertex 1]],GroupVertices[Vertex],0)),1,1,"")</f>
        <v>1</v>
      </c>
      <c r="AD620" s="80" t="str">
        <f>REPLACE(INDEX(GroupVertices[Group],MATCH("~"&amp;Edges[[#This Row],[Vertex 2]],GroupVertices[Vertex],0)),1,1,"")</f>
        <v>1</v>
      </c>
      <c r="AE620" s="105"/>
      <c r="AF620" s="105"/>
      <c r="AG620" s="105"/>
      <c r="AH620" s="105"/>
      <c r="AI620" s="105"/>
      <c r="AJ620" s="105"/>
      <c r="AK620" s="105"/>
      <c r="AL620" s="105"/>
      <c r="AM620" s="105"/>
    </row>
    <row r="621" spans="1:39" ht="15">
      <c r="A621" s="62" t="s">
        <v>277</v>
      </c>
      <c r="B621" s="62" t="s">
        <v>257</v>
      </c>
      <c r="C621" s="63" t="s">
        <v>3602</v>
      </c>
      <c r="D621" s="64">
        <v>5.526315789473684</v>
      </c>
      <c r="E621" s="65" t="s">
        <v>136</v>
      </c>
      <c r="F621" s="66">
        <v>31.0188679245283</v>
      </c>
      <c r="G621" s="63"/>
      <c r="H621" s="67"/>
      <c r="I621" s="68"/>
      <c r="J621" s="68"/>
      <c r="K621" s="31" t="s">
        <v>65</v>
      </c>
      <c r="L621" s="76">
        <v>621</v>
      </c>
      <c r="M621" s="76"/>
      <c r="N621" s="70"/>
      <c r="O621" s="78" t="s">
        <v>305</v>
      </c>
      <c r="P621" s="78" t="s">
        <v>443</v>
      </c>
      <c r="Q621" s="78" t="s">
        <v>896</v>
      </c>
      <c r="R621" s="78" t="s">
        <v>953</v>
      </c>
      <c r="S621" s="78"/>
      <c r="T621" s="78"/>
      <c r="U621" s="78"/>
      <c r="V621" s="78"/>
      <c r="W621" s="81" t="s">
        <v>1674</v>
      </c>
      <c r="X621" s="81" t="s">
        <v>1674</v>
      </c>
      <c r="Y621" s="78"/>
      <c r="Z621" s="78"/>
      <c r="AA621" s="81" t="s">
        <v>1674</v>
      </c>
      <c r="AB621" s="79">
        <v>3</v>
      </c>
      <c r="AC621" s="80" t="str">
        <f>REPLACE(INDEX(GroupVertices[Group],MATCH("~"&amp;Edges[[#This Row],[Vertex 1]],GroupVertices[Vertex],0)),1,1,"")</f>
        <v>1</v>
      </c>
      <c r="AD621" s="80" t="str">
        <f>REPLACE(INDEX(GroupVertices[Group],MATCH("~"&amp;Edges[[#This Row],[Vertex 2]],GroupVertices[Vertex],0)),1,1,"")</f>
        <v>1</v>
      </c>
      <c r="AE621" s="105"/>
      <c r="AF621" s="105"/>
      <c r="AG621" s="105"/>
      <c r="AH621" s="105"/>
      <c r="AI621" s="105"/>
      <c r="AJ621" s="105"/>
      <c r="AK621" s="105"/>
      <c r="AL621" s="105"/>
      <c r="AM621" s="105"/>
    </row>
    <row r="622" spans="1:39" ht="15">
      <c r="A622" s="62" t="s">
        <v>277</v>
      </c>
      <c r="B622" s="62" t="s">
        <v>257</v>
      </c>
      <c r="C622" s="63" t="s">
        <v>3602</v>
      </c>
      <c r="D622" s="64">
        <v>5.526315789473684</v>
      </c>
      <c r="E622" s="65" t="s">
        <v>136</v>
      </c>
      <c r="F622" s="66">
        <v>31.0188679245283</v>
      </c>
      <c r="G622" s="63"/>
      <c r="H622" s="67"/>
      <c r="I622" s="68"/>
      <c r="J622" s="68"/>
      <c r="K622" s="31" t="s">
        <v>65</v>
      </c>
      <c r="L622" s="76">
        <v>622</v>
      </c>
      <c r="M622" s="76"/>
      <c r="N622" s="70"/>
      <c r="O622" s="78" t="s">
        <v>305</v>
      </c>
      <c r="P622" s="78" t="s">
        <v>507</v>
      </c>
      <c r="Q622" s="78" t="s">
        <v>1008</v>
      </c>
      <c r="R622" s="78" t="s">
        <v>1008</v>
      </c>
      <c r="S622" s="78"/>
      <c r="T622" s="78"/>
      <c r="U622" s="78"/>
      <c r="V622" s="78"/>
      <c r="W622" s="81" t="s">
        <v>1674</v>
      </c>
      <c r="X622" s="81" t="s">
        <v>1674</v>
      </c>
      <c r="Y622" s="78"/>
      <c r="Z622" s="78"/>
      <c r="AA622" s="81" t="s">
        <v>1674</v>
      </c>
      <c r="AB622" s="79">
        <v>3</v>
      </c>
      <c r="AC622" s="80" t="str">
        <f>REPLACE(INDEX(GroupVertices[Group],MATCH("~"&amp;Edges[[#This Row],[Vertex 1]],GroupVertices[Vertex],0)),1,1,"")</f>
        <v>1</v>
      </c>
      <c r="AD622" s="80" t="str">
        <f>REPLACE(INDEX(GroupVertices[Group],MATCH("~"&amp;Edges[[#This Row],[Vertex 2]],GroupVertices[Vertex],0)),1,1,"")</f>
        <v>1</v>
      </c>
      <c r="AE622" s="105"/>
      <c r="AF622" s="105"/>
      <c r="AG622" s="105"/>
      <c r="AH622" s="105"/>
      <c r="AI622" s="105"/>
      <c r="AJ622" s="105"/>
      <c r="AK622" s="105"/>
      <c r="AL622" s="105"/>
      <c r="AM622" s="105"/>
    </row>
    <row r="623" spans="1:39" ht="15">
      <c r="A623" s="62" t="s">
        <v>280</v>
      </c>
      <c r="B623" s="62" t="s">
        <v>257</v>
      </c>
      <c r="C623" s="63" t="s">
        <v>3598</v>
      </c>
      <c r="D623" s="64">
        <v>5</v>
      </c>
      <c r="E623" s="65" t="s">
        <v>132</v>
      </c>
      <c r="F623" s="66">
        <v>32</v>
      </c>
      <c r="G623" s="63"/>
      <c r="H623" s="67"/>
      <c r="I623" s="68"/>
      <c r="J623" s="68"/>
      <c r="K623" s="31" t="s">
        <v>65</v>
      </c>
      <c r="L623" s="76">
        <v>623</v>
      </c>
      <c r="M623" s="76"/>
      <c r="N623" s="70"/>
      <c r="O623" s="78" t="s">
        <v>305</v>
      </c>
      <c r="P623" s="78" t="s">
        <v>507</v>
      </c>
      <c r="Q623" s="78" t="s">
        <v>1008</v>
      </c>
      <c r="R623" s="78" t="s">
        <v>1008</v>
      </c>
      <c r="S623" s="78"/>
      <c r="T623" s="78"/>
      <c r="U623" s="78"/>
      <c r="V623" s="78"/>
      <c r="W623" s="81" t="s">
        <v>1674</v>
      </c>
      <c r="X623" s="81" t="s">
        <v>1674</v>
      </c>
      <c r="Y623" s="78"/>
      <c r="Z623" s="78"/>
      <c r="AA623" s="81" t="s">
        <v>1674</v>
      </c>
      <c r="AB623" s="79">
        <v>1</v>
      </c>
      <c r="AC623" s="80" t="str">
        <f>REPLACE(INDEX(GroupVertices[Group],MATCH("~"&amp;Edges[[#This Row],[Vertex 1]],GroupVertices[Vertex],0)),1,1,"")</f>
        <v>3</v>
      </c>
      <c r="AD623" s="80" t="str">
        <f>REPLACE(INDEX(GroupVertices[Group],MATCH("~"&amp;Edges[[#This Row],[Vertex 2]],GroupVertices[Vertex],0)),1,1,"")</f>
        <v>1</v>
      </c>
      <c r="AE623" s="105"/>
      <c r="AF623" s="105"/>
      <c r="AG623" s="105"/>
      <c r="AH623" s="105"/>
      <c r="AI623" s="105"/>
      <c r="AJ623" s="105"/>
      <c r="AK623" s="105"/>
      <c r="AL623" s="105"/>
      <c r="AM623" s="105"/>
    </row>
    <row r="624" spans="1:39" ht="15">
      <c r="A624" s="62" t="s">
        <v>284</v>
      </c>
      <c r="B624" s="62" t="s">
        <v>257</v>
      </c>
      <c r="C624" s="63" t="s">
        <v>3598</v>
      </c>
      <c r="D624" s="64">
        <v>5</v>
      </c>
      <c r="E624" s="65" t="s">
        <v>132</v>
      </c>
      <c r="F624" s="66">
        <v>32</v>
      </c>
      <c r="G624" s="63"/>
      <c r="H624" s="67"/>
      <c r="I624" s="68"/>
      <c r="J624" s="68"/>
      <c r="K624" s="31" t="s">
        <v>65</v>
      </c>
      <c r="L624" s="76">
        <v>624</v>
      </c>
      <c r="M624" s="76"/>
      <c r="N624" s="70"/>
      <c r="O624" s="78" t="s">
        <v>305</v>
      </c>
      <c r="P624" s="78" t="s">
        <v>501</v>
      </c>
      <c r="Q624" s="78" t="s">
        <v>1002</v>
      </c>
      <c r="R624" s="78" t="s">
        <v>998</v>
      </c>
      <c r="S624" s="78"/>
      <c r="T624" s="78"/>
      <c r="U624" s="78"/>
      <c r="V624" s="78"/>
      <c r="W624" s="81" t="s">
        <v>1674</v>
      </c>
      <c r="X624" s="81" t="s">
        <v>1674</v>
      </c>
      <c r="Y624" s="78"/>
      <c r="Z624" s="78"/>
      <c r="AA624" s="81" t="s">
        <v>1674</v>
      </c>
      <c r="AB624" s="79">
        <v>1</v>
      </c>
      <c r="AC624" s="80" t="str">
        <f>REPLACE(INDEX(GroupVertices[Group],MATCH("~"&amp;Edges[[#This Row],[Vertex 1]],GroupVertices[Vertex],0)),1,1,"")</f>
        <v>1</v>
      </c>
      <c r="AD624" s="80" t="str">
        <f>REPLACE(INDEX(GroupVertices[Group],MATCH("~"&amp;Edges[[#This Row],[Vertex 2]],GroupVertices[Vertex],0)),1,1,"")</f>
        <v>1</v>
      </c>
      <c r="AE624" s="105"/>
      <c r="AF624" s="105"/>
      <c r="AG624" s="105"/>
      <c r="AH624" s="105"/>
      <c r="AI624" s="105"/>
      <c r="AJ624" s="105"/>
      <c r="AK624" s="105"/>
      <c r="AL624" s="105"/>
      <c r="AM624" s="105"/>
    </row>
    <row r="625" spans="1:39" ht="15">
      <c r="A625" s="62" t="s">
        <v>267</v>
      </c>
      <c r="B625" s="62" t="s">
        <v>294</v>
      </c>
      <c r="C625" s="63" t="s">
        <v>3598</v>
      </c>
      <c r="D625" s="64">
        <v>5</v>
      </c>
      <c r="E625" s="65" t="s">
        <v>132</v>
      </c>
      <c r="F625" s="66">
        <v>32</v>
      </c>
      <c r="G625" s="63"/>
      <c r="H625" s="67"/>
      <c r="I625" s="68"/>
      <c r="J625" s="68"/>
      <c r="K625" s="31" t="s">
        <v>65</v>
      </c>
      <c r="L625" s="76">
        <v>625</v>
      </c>
      <c r="M625" s="76"/>
      <c r="N625" s="70"/>
      <c r="O625" s="78" t="s">
        <v>305</v>
      </c>
      <c r="P625" s="78" t="s">
        <v>508</v>
      </c>
      <c r="Q625" s="78" t="s">
        <v>1009</v>
      </c>
      <c r="R625" s="78" t="s">
        <v>1481</v>
      </c>
      <c r="S625" s="78"/>
      <c r="T625" s="78"/>
      <c r="U625" s="78"/>
      <c r="V625" s="78"/>
      <c r="W625" s="81" t="s">
        <v>1674</v>
      </c>
      <c r="X625" s="81" t="s">
        <v>1674</v>
      </c>
      <c r="Y625" s="78"/>
      <c r="Z625" s="78"/>
      <c r="AA625" s="81" t="s">
        <v>1674</v>
      </c>
      <c r="AB625" s="79">
        <v>1</v>
      </c>
      <c r="AC625" s="80" t="str">
        <f>REPLACE(INDEX(GroupVertices[Group],MATCH("~"&amp;Edges[[#This Row],[Vertex 1]],GroupVertices[Vertex],0)),1,1,"")</f>
        <v>1</v>
      </c>
      <c r="AD625" s="80" t="str">
        <f>REPLACE(INDEX(GroupVertices[Group],MATCH("~"&amp;Edges[[#This Row],[Vertex 2]],GroupVertices[Vertex],0)),1,1,"")</f>
        <v>2</v>
      </c>
      <c r="AE625" s="105"/>
      <c r="AF625" s="105"/>
      <c r="AG625" s="105"/>
      <c r="AH625" s="105"/>
      <c r="AI625" s="105"/>
      <c r="AJ625" s="105"/>
      <c r="AK625" s="105"/>
      <c r="AL625" s="105"/>
      <c r="AM625" s="105"/>
    </row>
    <row r="626" spans="1:39" ht="15">
      <c r="A626" s="62" t="s">
        <v>267</v>
      </c>
      <c r="B626" s="62" t="s">
        <v>256</v>
      </c>
      <c r="C626" s="63" t="s">
        <v>3598</v>
      </c>
      <c r="D626" s="64">
        <v>5</v>
      </c>
      <c r="E626" s="65" t="s">
        <v>132</v>
      </c>
      <c r="F626" s="66">
        <v>32</v>
      </c>
      <c r="G626" s="63"/>
      <c r="H626" s="67"/>
      <c r="I626" s="68"/>
      <c r="J626" s="68"/>
      <c r="K626" s="31" t="s">
        <v>65</v>
      </c>
      <c r="L626" s="76">
        <v>626</v>
      </c>
      <c r="M626" s="76"/>
      <c r="N626" s="70"/>
      <c r="O626" s="78" t="s">
        <v>305</v>
      </c>
      <c r="P626" s="78" t="s">
        <v>501</v>
      </c>
      <c r="Q626" s="78" t="s">
        <v>995</v>
      </c>
      <c r="R626" s="78" t="s">
        <v>995</v>
      </c>
      <c r="S626" s="78"/>
      <c r="T626" s="78"/>
      <c r="U626" s="78"/>
      <c r="V626" s="78"/>
      <c r="W626" s="81" t="s">
        <v>1674</v>
      </c>
      <c r="X626" s="81" t="s">
        <v>1674</v>
      </c>
      <c r="Y626" s="78"/>
      <c r="Z626" s="78"/>
      <c r="AA626" s="81" t="s">
        <v>1674</v>
      </c>
      <c r="AB626" s="79">
        <v>1</v>
      </c>
      <c r="AC626" s="80" t="str">
        <f>REPLACE(INDEX(GroupVertices[Group],MATCH("~"&amp;Edges[[#This Row],[Vertex 1]],GroupVertices[Vertex],0)),1,1,"")</f>
        <v>1</v>
      </c>
      <c r="AD626" s="80" t="str">
        <f>REPLACE(INDEX(GroupVertices[Group],MATCH("~"&amp;Edges[[#This Row],[Vertex 2]],GroupVertices[Vertex],0)),1,1,"")</f>
        <v>1</v>
      </c>
      <c r="AE626" s="105"/>
      <c r="AF626" s="105"/>
      <c r="AG626" s="105"/>
      <c r="AH626" s="105"/>
      <c r="AI626" s="105"/>
      <c r="AJ626" s="105"/>
      <c r="AK626" s="105"/>
      <c r="AL626" s="105"/>
      <c r="AM626" s="105"/>
    </row>
    <row r="627" spans="1:39" ht="15">
      <c r="A627" s="62" t="s">
        <v>267</v>
      </c>
      <c r="B627" s="62" t="s">
        <v>246</v>
      </c>
      <c r="C627" s="63" t="s">
        <v>3598</v>
      </c>
      <c r="D627" s="64">
        <v>5</v>
      </c>
      <c r="E627" s="65" t="s">
        <v>132</v>
      </c>
      <c r="F627" s="66">
        <v>32</v>
      </c>
      <c r="G627" s="63"/>
      <c r="H627" s="67"/>
      <c r="I627" s="68"/>
      <c r="J627" s="68"/>
      <c r="K627" s="31" t="s">
        <v>65</v>
      </c>
      <c r="L627" s="76">
        <v>627</v>
      </c>
      <c r="M627" s="76"/>
      <c r="N627" s="70"/>
      <c r="O627" s="78" t="s">
        <v>305</v>
      </c>
      <c r="P627" s="78" t="s">
        <v>509</v>
      </c>
      <c r="Q627" s="78" t="s">
        <v>1010</v>
      </c>
      <c r="R627" s="78" t="s">
        <v>1482</v>
      </c>
      <c r="S627" s="78"/>
      <c r="T627" s="78"/>
      <c r="U627" s="78"/>
      <c r="V627" s="78"/>
      <c r="W627" s="81" t="s">
        <v>1674</v>
      </c>
      <c r="X627" s="81" t="s">
        <v>1674</v>
      </c>
      <c r="Y627" s="78"/>
      <c r="Z627" s="78"/>
      <c r="AA627" s="81" t="s">
        <v>1674</v>
      </c>
      <c r="AB627" s="79">
        <v>1</v>
      </c>
      <c r="AC627" s="80" t="str">
        <f>REPLACE(INDEX(GroupVertices[Group],MATCH("~"&amp;Edges[[#This Row],[Vertex 1]],GroupVertices[Vertex],0)),1,1,"")</f>
        <v>1</v>
      </c>
      <c r="AD627" s="80" t="str">
        <f>REPLACE(INDEX(GroupVertices[Group],MATCH("~"&amp;Edges[[#This Row],[Vertex 2]],GroupVertices[Vertex],0)),1,1,"")</f>
        <v>3</v>
      </c>
      <c r="AE627" s="105"/>
      <c r="AF627" s="105"/>
      <c r="AG627" s="105"/>
      <c r="AH627" s="105"/>
      <c r="AI627" s="105"/>
      <c r="AJ627" s="105"/>
      <c r="AK627" s="105"/>
      <c r="AL627" s="105"/>
      <c r="AM627" s="105"/>
    </row>
    <row r="628" spans="1:39" ht="15">
      <c r="A628" s="62" t="s">
        <v>267</v>
      </c>
      <c r="B628" s="62" t="s">
        <v>258</v>
      </c>
      <c r="C628" s="63" t="s">
        <v>3598</v>
      </c>
      <c r="D628" s="64">
        <v>5</v>
      </c>
      <c r="E628" s="65" t="s">
        <v>132</v>
      </c>
      <c r="F628" s="66">
        <v>32</v>
      </c>
      <c r="G628" s="63"/>
      <c r="H628" s="67"/>
      <c r="I628" s="68"/>
      <c r="J628" s="68"/>
      <c r="K628" s="31" t="s">
        <v>65</v>
      </c>
      <c r="L628" s="76">
        <v>628</v>
      </c>
      <c r="M628" s="76"/>
      <c r="N628" s="70"/>
      <c r="O628" s="78" t="s">
        <v>305</v>
      </c>
      <c r="P628" s="78" t="s">
        <v>501</v>
      </c>
      <c r="Q628" s="78" t="s">
        <v>995</v>
      </c>
      <c r="R628" s="78" t="s">
        <v>999</v>
      </c>
      <c r="S628" s="78"/>
      <c r="T628" s="78"/>
      <c r="U628" s="78"/>
      <c r="V628" s="78"/>
      <c r="W628" s="81" t="s">
        <v>1674</v>
      </c>
      <c r="X628" s="81" t="s">
        <v>1674</v>
      </c>
      <c r="Y628" s="78"/>
      <c r="Z628" s="78"/>
      <c r="AA628" s="81" t="s">
        <v>1674</v>
      </c>
      <c r="AB628" s="79">
        <v>1</v>
      </c>
      <c r="AC628" s="80" t="str">
        <f>REPLACE(INDEX(GroupVertices[Group],MATCH("~"&amp;Edges[[#This Row],[Vertex 1]],GroupVertices[Vertex],0)),1,1,"")</f>
        <v>1</v>
      </c>
      <c r="AD628" s="80" t="str">
        <f>REPLACE(INDEX(GroupVertices[Group],MATCH("~"&amp;Edges[[#This Row],[Vertex 2]],GroupVertices[Vertex],0)),1,1,"")</f>
        <v>1</v>
      </c>
      <c r="AE628" s="105"/>
      <c r="AF628" s="105"/>
      <c r="AG628" s="105"/>
      <c r="AH628" s="105"/>
      <c r="AI628" s="105"/>
      <c r="AJ628" s="105"/>
      <c r="AK628" s="105"/>
      <c r="AL628" s="105"/>
      <c r="AM628" s="105"/>
    </row>
    <row r="629" spans="1:39" ht="15">
      <c r="A629" s="62" t="s">
        <v>267</v>
      </c>
      <c r="B629" s="62" t="s">
        <v>265</v>
      </c>
      <c r="C629" s="63" t="s">
        <v>3598</v>
      </c>
      <c r="D629" s="64">
        <v>5</v>
      </c>
      <c r="E629" s="65" t="s">
        <v>132</v>
      </c>
      <c r="F629" s="66">
        <v>32</v>
      </c>
      <c r="G629" s="63"/>
      <c r="H629" s="67"/>
      <c r="I629" s="68"/>
      <c r="J629" s="68"/>
      <c r="K629" s="31" t="s">
        <v>65</v>
      </c>
      <c r="L629" s="76">
        <v>629</v>
      </c>
      <c r="M629" s="76"/>
      <c r="N629" s="70"/>
      <c r="O629" s="78" t="s">
        <v>305</v>
      </c>
      <c r="P629" s="78" t="s">
        <v>479</v>
      </c>
      <c r="Q629" s="78" t="s">
        <v>955</v>
      </c>
      <c r="R629" s="78" t="s">
        <v>955</v>
      </c>
      <c r="S629" s="78"/>
      <c r="T629" s="78"/>
      <c r="U629" s="78"/>
      <c r="V629" s="78"/>
      <c r="W629" s="81" t="s">
        <v>1674</v>
      </c>
      <c r="X629" s="81" t="s">
        <v>1674</v>
      </c>
      <c r="Y629" s="78"/>
      <c r="Z629" s="78"/>
      <c r="AA629" s="81" t="s">
        <v>1674</v>
      </c>
      <c r="AB629" s="79">
        <v>1</v>
      </c>
      <c r="AC629" s="80" t="str">
        <f>REPLACE(INDEX(GroupVertices[Group],MATCH("~"&amp;Edges[[#This Row],[Vertex 1]],GroupVertices[Vertex],0)),1,1,"")</f>
        <v>1</v>
      </c>
      <c r="AD629" s="80" t="str">
        <f>REPLACE(INDEX(GroupVertices[Group],MATCH("~"&amp;Edges[[#This Row],[Vertex 2]],GroupVertices[Vertex],0)),1,1,"")</f>
        <v>3</v>
      </c>
      <c r="AE629" s="105"/>
      <c r="AF629" s="105"/>
      <c r="AG629" s="105"/>
      <c r="AH629" s="105"/>
      <c r="AI629" s="105"/>
      <c r="AJ629" s="105"/>
      <c r="AK629" s="105"/>
      <c r="AL629" s="105"/>
      <c r="AM629" s="105"/>
    </row>
    <row r="630" spans="1:39" ht="15">
      <c r="A630" s="62" t="s">
        <v>267</v>
      </c>
      <c r="B630" s="62" t="s">
        <v>235</v>
      </c>
      <c r="C630" s="63" t="s">
        <v>3603</v>
      </c>
      <c r="D630" s="64">
        <v>5.7894736842105265</v>
      </c>
      <c r="E630" s="65" t="s">
        <v>136</v>
      </c>
      <c r="F630" s="66">
        <v>30.528301886792452</v>
      </c>
      <c r="G630" s="63"/>
      <c r="H630" s="67"/>
      <c r="I630" s="68"/>
      <c r="J630" s="68"/>
      <c r="K630" s="31" t="s">
        <v>65</v>
      </c>
      <c r="L630" s="76">
        <v>630</v>
      </c>
      <c r="M630" s="76"/>
      <c r="N630" s="70"/>
      <c r="O630" s="78" t="s">
        <v>305</v>
      </c>
      <c r="P630" s="78" t="s">
        <v>446</v>
      </c>
      <c r="Q630" s="78" t="s">
        <v>1007</v>
      </c>
      <c r="R630" s="78" t="s">
        <v>1004</v>
      </c>
      <c r="S630" s="78"/>
      <c r="T630" s="78"/>
      <c r="U630" s="78"/>
      <c r="V630" s="78"/>
      <c r="W630" s="81" t="s">
        <v>1674</v>
      </c>
      <c r="X630" s="81" t="s">
        <v>1674</v>
      </c>
      <c r="Y630" s="78"/>
      <c r="Z630" s="78"/>
      <c r="AA630" s="81" t="s">
        <v>1674</v>
      </c>
      <c r="AB630" s="79">
        <v>4</v>
      </c>
      <c r="AC630" s="80" t="str">
        <f>REPLACE(INDEX(GroupVertices[Group],MATCH("~"&amp;Edges[[#This Row],[Vertex 1]],GroupVertices[Vertex],0)),1,1,"")</f>
        <v>1</v>
      </c>
      <c r="AD630" s="80" t="str">
        <f>REPLACE(INDEX(GroupVertices[Group],MATCH("~"&amp;Edges[[#This Row],[Vertex 2]],GroupVertices[Vertex],0)),1,1,"")</f>
        <v>1</v>
      </c>
      <c r="AE630" s="105"/>
      <c r="AF630" s="105"/>
      <c r="AG630" s="105"/>
      <c r="AH630" s="105"/>
      <c r="AI630" s="105"/>
      <c r="AJ630" s="105"/>
      <c r="AK630" s="105"/>
      <c r="AL630" s="105"/>
      <c r="AM630" s="105"/>
    </row>
    <row r="631" spans="1:39" ht="15">
      <c r="A631" s="62" t="s">
        <v>267</v>
      </c>
      <c r="B631" s="62" t="s">
        <v>235</v>
      </c>
      <c r="C631" s="63" t="s">
        <v>3603</v>
      </c>
      <c r="D631" s="64">
        <v>5.7894736842105265</v>
      </c>
      <c r="E631" s="65" t="s">
        <v>136</v>
      </c>
      <c r="F631" s="66">
        <v>30.528301886792452</v>
      </c>
      <c r="G631" s="63"/>
      <c r="H631" s="67"/>
      <c r="I631" s="68"/>
      <c r="J631" s="68"/>
      <c r="K631" s="31" t="s">
        <v>65</v>
      </c>
      <c r="L631" s="76">
        <v>631</v>
      </c>
      <c r="M631" s="76"/>
      <c r="N631" s="70"/>
      <c r="O631" s="78" t="s">
        <v>305</v>
      </c>
      <c r="P631" s="78" t="s">
        <v>501</v>
      </c>
      <c r="Q631" s="78" t="s">
        <v>995</v>
      </c>
      <c r="R631" s="78" t="s">
        <v>995</v>
      </c>
      <c r="S631" s="78"/>
      <c r="T631" s="78"/>
      <c r="U631" s="78"/>
      <c r="V631" s="78"/>
      <c r="W631" s="81" t="s">
        <v>1674</v>
      </c>
      <c r="X631" s="81" t="s">
        <v>1674</v>
      </c>
      <c r="Y631" s="78"/>
      <c r="Z631" s="78"/>
      <c r="AA631" s="81" t="s">
        <v>1674</v>
      </c>
      <c r="AB631" s="79">
        <v>4</v>
      </c>
      <c r="AC631" s="80" t="str">
        <f>REPLACE(INDEX(GroupVertices[Group],MATCH("~"&amp;Edges[[#This Row],[Vertex 1]],GroupVertices[Vertex],0)),1,1,"")</f>
        <v>1</v>
      </c>
      <c r="AD631" s="80" t="str">
        <f>REPLACE(INDEX(GroupVertices[Group],MATCH("~"&amp;Edges[[#This Row],[Vertex 2]],GroupVertices[Vertex],0)),1,1,"")</f>
        <v>1</v>
      </c>
      <c r="AE631" s="105"/>
      <c r="AF631" s="105"/>
      <c r="AG631" s="105"/>
      <c r="AH631" s="105"/>
      <c r="AI631" s="105"/>
      <c r="AJ631" s="105"/>
      <c r="AK631" s="105"/>
      <c r="AL631" s="105"/>
      <c r="AM631" s="105"/>
    </row>
    <row r="632" spans="1:39" ht="15">
      <c r="A632" s="62" t="s">
        <v>267</v>
      </c>
      <c r="B632" s="62" t="s">
        <v>235</v>
      </c>
      <c r="C632" s="63" t="s">
        <v>3603</v>
      </c>
      <c r="D632" s="64">
        <v>5.7894736842105265</v>
      </c>
      <c r="E632" s="65" t="s">
        <v>136</v>
      </c>
      <c r="F632" s="66">
        <v>30.528301886792452</v>
      </c>
      <c r="G632" s="63"/>
      <c r="H632" s="67"/>
      <c r="I632" s="68"/>
      <c r="J632" s="68"/>
      <c r="K632" s="31" t="s">
        <v>65</v>
      </c>
      <c r="L632" s="76">
        <v>632</v>
      </c>
      <c r="M632" s="76"/>
      <c r="N632" s="70"/>
      <c r="O632" s="78" t="s">
        <v>305</v>
      </c>
      <c r="P632" s="78" t="s">
        <v>510</v>
      </c>
      <c r="Q632" s="78" t="s">
        <v>1011</v>
      </c>
      <c r="R632" s="78" t="s">
        <v>1011</v>
      </c>
      <c r="S632" s="78" t="s">
        <v>1654</v>
      </c>
      <c r="T632" s="78" t="s">
        <v>1654</v>
      </c>
      <c r="U632" s="78" t="s">
        <v>1670</v>
      </c>
      <c r="V632" s="78" t="s">
        <v>1670</v>
      </c>
      <c r="W632" s="81" t="s">
        <v>1674</v>
      </c>
      <c r="X632" s="81" t="s">
        <v>1674</v>
      </c>
      <c r="Y632" s="78" t="s">
        <v>1691</v>
      </c>
      <c r="Z632" s="78" t="s">
        <v>1669</v>
      </c>
      <c r="AA632" s="81" t="s">
        <v>1674</v>
      </c>
      <c r="AB632" s="79">
        <v>4</v>
      </c>
      <c r="AC632" s="80" t="str">
        <f>REPLACE(INDEX(GroupVertices[Group],MATCH("~"&amp;Edges[[#This Row],[Vertex 1]],GroupVertices[Vertex],0)),1,1,"")</f>
        <v>1</v>
      </c>
      <c r="AD632" s="80" t="str">
        <f>REPLACE(INDEX(GroupVertices[Group],MATCH("~"&amp;Edges[[#This Row],[Vertex 2]],GroupVertices[Vertex],0)),1,1,"")</f>
        <v>1</v>
      </c>
      <c r="AE632" s="105"/>
      <c r="AF632" s="105"/>
      <c r="AG632" s="105"/>
      <c r="AH632" s="105"/>
      <c r="AI632" s="105"/>
      <c r="AJ632" s="105"/>
      <c r="AK632" s="105"/>
      <c r="AL632" s="105"/>
      <c r="AM632" s="105"/>
    </row>
    <row r="633" spans="1:39" ht="15">
      <c r="A633" s="62" t="s">
        <v>267</v>
      </c>
      <c r="B633" s="62" t="s">
        <v>235</v>
      </c>
      <c r="C633" s="63" t="s">
        <v>3603</v>
      </c>
      <c r="D633" s="64">
        <v>5.7894736842105265</v>
      </c>
      <c r="E633" s="65" t="s">
        <v>136</v>
      </c>
      <c r="F633" s="66">
        <v>30.528301886792452</v>
      </c>
      <c r="G633" s="63"/>
      <c r="H633" s="67"/>
      <c r="I633" s="68"/>
      <c r="J633" s="68"/>
      <c r="K633" s="31" t="s">
        <v>65</v>
      </c>
      <c r="L633" s="76">
        <v>633</v>
      </c>
      <c r="M633" s="76"/>
      <c r="N633" s="70"/>
      <c r="O633" s="78" t="s">
        <v>305</v>
      </c>
      <c r="P633" s="78" t="s">
        <v>479</v>
      </c>
      <c r="Q633" s="78" t="s">
        <v>955</v>
      </c>
      <c r="R633" s="78" t="s">
        <v>956</v>
      </c>
      <c r="S633" s="78"/>
      <c r="T633" s="78"/>
      <c r="U633" s="78"/>
      <c r="V633" s="78"/>
      <c r="W633" s="81" t="s">
        <v>1674</v>
      </c>
      <c r="X633" s="81" t="s">
        <v>1674</v>
      </c>
      <c r="Y633" s="78"/>
      <c r="Z633" s="78"/>
      <c r="AA633" s="81" t="s">
        <v>1674</v>
      </c>
      <c r="AB633" s="79">
        <v>4</v>
      </c>
      <c r="AC633" s="80" t="str">
        <f>REPLACE(INDEX(GroupVertices[Group],MATCH("~"&amp;Edges[[#This Row],[Vertex 1]],GroupVertices[Vertex],0)),1,1,"")</f>
        <v>1</v>
      </c>
      <c r="AD633" s="80" t="str">
        <f>REPLACE(INDEX(GroupVertices[Group],MATCH("~"&amp;Edges[[#This Row],[Vertex 2]],GroupVertices[Vertex],0)),1,1,"")</f>
        <v>1</v>
      </c>
      <c r="AE633" s="105"/>
      <c r="AF633" s="105"/>
      <c r="AG633" s="105"/>
      <c r="AH633" s="105"/>
      <c r="AI633" s="105"/>
      <c r="AJ633" s="105"/>
      <c r="AK633" s="105"/>
      <c r="AL633" s="105"/>
      <c r="AM633" s="105"/>
    </row>
    <row r="634" spans="1:39" ht="15">
      <c r="A634" s="62" t="s">
        <v>267</v>
      </c>
      <c r="B634" s="62" t="s">
        <v>247</v>
      </c>
      <c r="C634" s="63" t="s">
        <v>3598</v>
      </c>
      <c r="D634" s="64">
        <v>5</v>
      </c>
      <c r="E634" s="65" t="s">
        <v>132</v>
      </c>
      <c r="F634" s="66">
        <v>32</v>
      </c>
      <c r="G634" s="63"/>
      <c r="H634" s="67"/>
      <c r="I634" s="68"/>
      <c r="J634" s="68"/>
      <c r="K634" s="31" t="s">
        <v>65</v>
      </c>
      <c r="L634" s="76">
        <v>634</v>
      </c>
      <c r="M634" s="76"/>
      <c r="N634" s="70"/>
      <c r="O634" s="78" t="s">
        <v>305</v>
      </c>
      <c r="P634" s="78" t="s">
        <v>511</v>
      </c>
      <c r="Q634" s="78" t="s">
        <v>1012</v>
      </c>
      <c r="R634" s="78" t="s">
        <v>1483</v>
      </c>
      <c r="S634" s="78"/>
      <c r="T634" s="78"/>
      <c r="U634" s="78"/>
      <c r="V634" s="78"/>
      <c r="W634" s="81" t="s">
        <v>1674</v>
      </c>
      <c r="X634" s="81" t="s">
        <v>1674</v>
      </c>
      <c r="Y634" s="78"/>
      <c r="Z634" s="78"/>
      <c r="AA634" s="81" t="s">
        <v>1674</v>
      </c>
      <c r="AB634" s="79">
        <v>1</v>
      </c>
      <c r="AC634" s="80" t="str">
        <f>REPLACE(INDEX(GroupVertices[Group],MATCH("~"&amp;Edges[[#This Row],[Vertex 1]],GroupVertices[Vertex],0)),1,1,"")</f>
        <v>1</v>
      </c>
      <c r="AD634" s="80" t="str">
        <f>REPLACE(INDEX(GroupVertices[Group],MATCH("~"&amp;Edges[[#This Row],[Vertex 2]],GroupVertices[Vertex],0)),1,1,"")</f>
        <v>2</v>
      </c>
      <c r="AE634" s="105"/>
      <c r="AF634" s="105"/>
      <c r="AG634" s="105"/>
      <c r="AH634" s="105"/>
      <c r="AI634" s="105"/>
      <c r="AJ634" s="105"/>
      <c r="AK634" s="105"/>
      <c r="AL634" s="105"/>
      <c r="AM634" s="105"/>
    </row>
    <row r="635" spans="1:39" ht="15">
      <c r="A635" s="62" t="s">
        <v>267</v>
      </c>
      <c r="B635" s="62" t="s">
        <v>260</v>
      </c>
      <c r="C635" s="63" t="s">
        <v>3603</v>
      </c>
      <c r="D635" s="64">
        <v>5.7894736842105265</v>
      </c>
      <c r="E635" s="65" t="s">
        <v>136</v>
      </c>
      <c r="F635" s="66">
        <v>30.528301886792452</v>
      </c>
      <c r="G635" s="63"/>
      <c r="H635" s="67"/>
      <c r="I635" s="68"/>
      <c r="J635" s="68"/>
      <c r="K635" s="31" t="s">
        <v>65</v>
      </c>
      <c r="L635" s="76">
        <v>635</v>
      </c>
      <c r="M635" s="76"/>
      <c r="N635" s="70"/>
      <c r="O635" s="78" t="s">
        <v>305</v>
      </c>
      <c r="P635" s="78" t="s">
        <v>429</v>
      </c>
      <c r="Q635" s="78" t="s">
        <v>861</v>
      </c>
      <c r="R635" s="78" t="s">
        <v>860</v>
      </c>
      <c r="S635" s="78"/>
      <c r="T635" s="78"/>
      <c r="U635" s="78"/>
      <c r="V635" s="78"/>
      <c r="W635" s="81" t="s">
        <v>1674</v>
      </c>
      <c r="X635" s="81" t="s">
        <v>1674</v>
      </c>
      <c r="Y635" s="78"/>
      <c r="Z635" s="78"/>
      <c r="AA635" s="81" t="s">
        <v>1674</v>
      </c>
      <c r="AB635" s="79">
        <v>4</v>
      </c>
      <c r="AC635" s="80" t="str">
        <f>REPLACE(INDEX(GroupVertices[Group],MATCH("~"&amp;Edges[[#This Row],[Vertex 1]],GroupVertices[Vertex],0)),1,1,"")</f>
        <v>1</v>
      </c>
      <c r="AD635" s="80" t="str">
        <f>REPLACE(INDEX(GroupVertices[Group],MATCH("~"&amp;Edges[[#This Row],[Vertex 2]],GroupVertices[Vertex],0)),1,1,"")</f>
        <v>1</v>
      </c>
      <c r="AE635" s="105"/>
      <c r="AF635" s="105"/>
      <c r="AG635" s="105"/>
      <c r="AH635" s="105"/>
      <c r="AI635" s="105"/>
      <c r="AJ635" s="105"/>
      <c r="AK635" s="105"/>
      <c r="AL635" s="105"/>
      <c r="AM635" s="105"/>
    </row>
    <row r="636" spans="1:39" ht="15">
      <c r="A636" s="62" t="s">
        <v>267</v>
      </c>
      <c r="B636" s="62" t="s">
        <v>260</v>
      </c>
      <c r="C636" s="63" t="s">
        <v>3603</v>
      </c>
      <c r="D636" s="64">
        <v>5.7894736842105265</v>
      </c>
      <c r="E636" s="65" t="s">
        <v>136</v>
      </c>
      <c r="F636" s="66">
        <v>30.528301886792452</v>
      </c>
      <c r="G636" s="63"/>
      <c r="H636" s="67"/>
      <c r="I636" s="68"/>
      <c r="J636" s="68"/>
      <c r="K636" s="31" t="s">
        <v>65</v>
      </c>
      <c r="L636" s="76">
        <v>636</v>
      </c>
      <c r="M636" s="76"/>
      <c r="N636" s="70"/>
      <c r="O636" s="78" t="s">
        <v>305</v>
      </c>
      <c r="P636" s="78" t="s">
        <v>512</v>
      </c>
      <c r="Q636" s="78" t="s">
        <v>1013</v>
      </c>
      <c r="R636" s="78" t="s">
        <v>1484</v>
      </c>
      <c r="S636" s="78"/>
      <c r="T636" s="78"/>
      <c r="U636" s="78"/>
      <c r="V636" s="78"/>
      <c r="W636" s="81" t="s">
        <v>1674</v>
      </c>
      <c r="X636" s="81" t="s">
        <v>1674</v>
      </c>
      <c r="Y636" s="78"/>
      <c r="Z636" s="78"/>
      <c r="AA636" s="81" t="s">
        <v>1674</v>
      </c>
      <c r="AB636" s="79">
        <v>4</v>
      </c>
      <c r="AC636" s="80" t="str">
        <f>REPLACE(INDEX(GroupVertices[Group],MATCH("~"&amp;Edges[[#This Row],[Vertex 1]],GroupVertices[Vertex],0)),1,1,"")</f>
        <v>1</v>
      </c>
      <c r="AD636" s="80" t="str">
        <f>REPLACE(INDEX(GroupVertices[Group],MATCH("~"&amp;Edges[[#This Row],[Vertex 2]],GroupVertices[Vertex],0)),1,1,"")</f>
        <v>1</v>
      </c>
      <c r="AE636" s="105"/>
      <c r="AF636" s="105"/>
      <c r="AG636" s="105"/>
      <c r="AH636" s="105"/>
      <c r="AI636" s="105"/>
      <c r="AJ636" s="105"/>
      <c r="AK636" s="105"/>
      <c r="AL636" s="105"/>
      <c r="AM636" s="105"/>
    </row>
    <row r="637" spans="1:39" ht="15">
      <c r="A637" s="62" t="s">
        <v>267</v>
      </c>
      <c r="B637" s="62" t="s">
        <v>260</v>
      </c>
      <c r="C637" s="63" t="s">
        <v>3603</v>
      </c>
      <c r="D637" s="64">
        <v>5.7894736842105265</v>
      </c>
      <c r="E637" s="65" t="s">
        <v>136</v>
      </c>
      <c r="F637" s="66">
        <v>30.528301886792452</v>
      </c>
      <c r="G637" s="63"/>
      <c r="H637" s="67"/>
      <c r="I637" s="68"/>
      <c r="J637" s="68"/>
      <c r="K637" s="31" t="s">
        <v>65</v>
      </c>
      <c r="L637" s="76">
        <v>637</v>
      </c>
      <c r="M637" s="76"/>
      <c r="N637" s="70"/>
      <c r="O637" s="78" t="s">
        <v>305</v>
      </c>
      <c r="P637" s="78" t="s">
        <v>446</v>
      </c>
      <c r="Q637" s="78" t="s">
        <v>1007</v>
      </c>
      <c r="R637" s="78" t="s">
        <v>1005</v>
      </c>
      <c r="S637" s="78"/>
      <c r="T637" s="78"/>
      <c r="U637" s="78"/>
      <c r="V637" s="78"/>
      <c r="W637" s="81" t="s">
        <v>1674</v>
      </c>
      <c r="X637" s="81" t="s">
        <v>1674</v>
      </c>
      <c r="Y637" s="78"/>
      <c r="Z637" s="78"/>
      <c r="AA637" s="81" t="s">
        <v>1674</v>
      </c>
      <c r="AB637" s="79">
        <v>4</v>
      </c>
      <c r="AC637" s="80" t="str">
        <f>REPLACE(INDEX(GroupVertices[Group],MATCH("~"&amp;Edges[[#This Row],[Vertex 1]],GroupVertices[Vertex],0)),1,1,"")</f>
        <v>1</v>
      </c>
      <c r="AD637" s="80" t="str">
        <f>REPLACE(INDEX(GroupVertices[Group],MATCH("~"&amp;Edges[[#This Row],[Vertex 2]],GroupVertices[Vertex],0)),1,1,"")</f>
        <v>1</v>
      </c>
      <c r="AE637" s="105"/>
      <c r="AF637" s="105"/>
      <c r="AG637" s="105"/>
      <c r="AH637" s="105"/>
      <c r="AI637" s="105"/>
      <c r="AJ637" s="105"/>
      <c r="AK637" s="105"/>
      <c r="AL637" s="105"/>
      <c r="AM637" s="105"/>
    </row>
    <row r="638" spans="1:39" ht="15">
      <c r="A638" s="62" t="s">
        <v>267</v>
      </c>
      <c r="B638" s="62" t="s">
        <v>260</v>
      </c>
      <c r="C638" s="63" t="s">
        <v>3603</v>
      </c>
      <c r="D638" s="64">
        <v>5.7894736842105265</v>
      </c>
      <c r="E638" s="65" t="s">
        <v>136</v>
      </c>
      <c r="F638" s="66">
        <v>30.528301886792452</v>
      </c>
      <c r="G638" s="63"/>
      <c r="H638" s="67"/>
      <c r="I638" s="68"/>
      <c r="J638" s="68"/>
      <c r="K638" s="31" t="s">
        <v>65</v>
      </c>
      <c r="L638" s="76">
        <v>638</v>
      </c>
      <c r="M638" s="76"/>
      <c r="N638" s="70"/>
      <c r="O638" s="78" t="s">
        <v>305</v>
      </c>
      <c r="P638" s="78" t="s">
        <v>501</v>
      </c>
      <c r="Q638" s="78" t="s">
        <v>995</v>
      </c>
      <c r="R638" s="78" t="s">
        <v>995</v>
      </c>
      <c r="S638" s="78"/>
      <c r="T638" s="78"/>
      <c r="U638" s="78"/>
      <c r="V638" s="78"/>
      <c r="W638" s="81" t="s">
        <v>1674</v>
      </c>
      <c r="X638" s="81" t="s">
        <v>1674</v>
      </c>
      <c r="Y638" s="78"/>
      <c r="Z638" s="78"/>
      <c r="AA638" s="81" t="s">
        <v>1674</v>
      </c>
      <c r="AB638" s="79">
        <v>4</v>
      </c>
      <c r="AC638" s="80" t="str">
        <f>REPLACE(INDEX(GroupVertices[Group],MATCH("~"&amp;Edges[[#This Row],[Vertex 1]],GroupVertices[Vertex],0)),1,1,"")</f>
        <v>1</v>
      </c>
      <c r="AD638" s="80" t="str">
        <f>REPLACE(INDEX(GroupVertices[Group],MATCH("~"&amp;Edges[[#This Row],[Vertex 2]],GroupVertices[Vertex],0)),1,1,"")</f>
        <v>1</v>
      </c>
      <c r="AE638" s="105"/>
      <c r="AF638" s="105"/>
      <c r="AG638" s="105"/>
      <c r="AH638" s="105"/>
      <c r="AI638" s="105"/>
      <c r="AJ638" s="105"/>
      <c r="AK638" s="105"/>
      <c r="AL638" s="105"/>
      <c r="AM638" s="105"/>
    </row>
    <row r="639" spans="1:39" ht="15">
      <c r="A639" s="62" t="s">
        <v>277</v>
      </c>
      <c r="B639" s="62" t="s">
        <v>267</v>
      </c>
      <c r="C639" s="63" t="s">
        <v>3598</v>
      </c>
      <c r="D639" s="64">
        <v>5.2631578947368425</v>
      </c>
      <c r="E639" s="65" t="s">
        <v>136</v>
      </c>
      <c r="F639" s="66">
        <v>31.50943396226415</v>
      </c>
      <c r="G639" s="63"/>
      <c r="H639" s="67"/>
      <c r="I639" s="68"/>
      <c r="J639" s="68"/>
      <c r="K639" s="31" t="s">
        <v>65</v>
      </c>
      <c r="L639" s="76">
        <v>639</v>
      </c>
      <c r="M639" s="76"/>
      <c r="N639" s="70"/>
      <c r="O639" s="78" t="s">
        <v>305</v>
      </c>
      <c r="P639" s="78" t="s">
        <v>501</v>
      </c>
      <c r="Q639" s="78" t="s">
        <v>1002</v>
      </c>
      <c r="R639" s="78" t="s">
        <v>995</v>
      </c>
      <c r="S639" s="78"/>
      <c r="T639" s="78"/>
      <c r="U639" s="78"/>
      <c r="V639" s="78"/>
      <c r="W639" s="81" t="s">
        <v>1674</v>
      </c>
      <c r="X639" s="81" t="s">
        <v>1674</v>
      </c>
      <c r="Y639" s="78"/>
      <c r="Z639" s="78"/>
      <c r="AA639" s="81" t="s">
        <v>1674</v>
      </c>
      <c r="AB639" s="79">
        <v>2</v>
      </c>
      <c r="AC639" s="80" t="str">
        <f>REPLACE(INDEX(GroupVertices[Group],MATCH("~"&amp;Edges[[#This Row],[Vertex 1]],GroupVertices[Vertex],0)),1,1,"")</f>
        <v>1</v>
      </c>
      <c r="AD639" s="80" t="str">
        <f>REPLACE(INDEX(GroupVertices[Group],MATCH("~"&amp;Edges[[#This Row],[Vertex 2]],GroupVertices[Vertex],0)),1,1,"")</f>
        <v>1</v>
      </c>
      <c r="AE639" s="105"/>
      <c r="AF639" s="105"/>
      <c r="AG639" s="105"/>
      <c r="AH639" s="105"/>
      <c r="AI639" s="105"/>
      <c r="AJ639" s="105"/>
      <c r="AK639" s="105"/>
      <c r="AL639" s="105"/>
      <c r="AM639" s="105"/>
    </row>
    <row r="640" spans="1:39" ht="15">
      <c r="A640" s="62" t="s">
        <v>277</v>
      </c>
      <c r="B640" s="62" t="s">
        <v>267</v>
      </c>
      <c r="C640" s="63" t="s">
        <v>3598</v>
      </c>
      <c r="D640" s="64">
        <v>5.2631578947368425</v>
      </c>
      <c r="E640" s="65" t="s">
        <v>136</v>
      </c>
      <c r="F640" s="66">
        <v>31.50943396226415</v>
      </c>
      <c r="G640" s="63"/>
      <c r="H640" s="67"/>
      <c r="I640" s="68"/>
      <c r="J640" s="68"/>
      <c r="K640" s="31" t="s">
        <v>65</v>
      </c>
      <c r="L640" s="76">
        <v>640</v>
      </c>
      <c r="M640" s="76"/>
      <c r="N640" s="70"/>
      <c r="O640" s="78" t="s">
        <v>305</v>
      </c>
      <c r="P640" s="78" t="s">
        <v>479</v>
      </c>
      <c r="Q640" s="78" t="s">
        <v>956</v>
      </c>
      <c r="R640" s="78" t="s">
        <v>955</v>
      </c>
      <c r="S640" s="78"/>
      <c r="T640" s="78"/>
      <c r="U640" s="78"/>
      <c r="V640" s="78"/>
      <c r="W640" s="81" t="s">
        <v>1674</v>
      </c>
      <c r="X640" s="81" t="s">
        <v>1674</v>
      </c>
      <c r="Y640" s="78"/>
      <c r="Z640" s="78"/>
      <c r="AA640" s="81" t="s">
        <v>1674</v>
      </c>
      <c r="AB640" s="79">
        <v>2</v>
      </c>
      <c r="AC640" s="80" t="str">
        <f>REPLACE(INDEX(GroupVertices[Group],MATCH("~"&amp;Edges[[#This Row],[Vertex 1]],GroupVertices[Vertex],0)),1,1,"")</f>
        <v>1</v>
      </c>
      <c r="AD640" s="80" t="str">
        <f>REPLACE(INDEX(GroupVertices[Group],MATCH("~"&amp;Edges[[#This Row],[Vertex 2]],GroupVertices[Vertex],0)),1,1,"")</f>
        <v>1</v>
      </c>
      <c r="AE640" s="105"/>
      <c r="AF640" s="105"/>
      <c r="AG640" s="105"/>
      <c r="AH640" s="105"/>
      <c r="AI640" s="105"/>
      <c r="AJ640" s="105"/>
      <c r="AK640" s="105"/>
      <c r="AL640" s="105"/>
      <c r="AM640" s="105"/>
    </row>
    <row r="641" spans="1:39" ht="15">
      <c r="A641" s="62" t="s">
        <v>279</v>
      </c>
      <c r="B641" s="62" t="s">
        <v>267</v>
      </c>
      <c r="C641" s="63" t="s">
        <v>3598</v>
      </c>
      <c r="D641" s="64">
        <v>5</v>
      </c>
      <c r="E641" s="65" t="s">
        <v>132</v>
      </c>
      <c r="F641" s="66">
        <v>32</v>
      </c>
      <c r="G641" s="63"/>
      <c r="H641" s="67"/>
      <c r="I641" s="68"/>
      <c r="J641" s="68"/>
      <c r="K641" s="31" t="s">
        <v>65</v>
      </c>
      <c r="L641" s="76">
        <v>641</v>
      </c>
      <c r="M641" s="76"/>
      <c r="N641" s="70"/>
      <c r="O641" s="78" t="s">
        <v>305</v>
      </c>
      <c r="P641" s="78" t="s">
        <v>479</v>
      </c>
      <c r="Q641" s="78" t="s">
        <v>955</v>
      </c>
      <c r="R641" s="78" t="s">
        <v>955</v>
      </c>
      <c r="S641" s="78"/>
      <c r="T641" s="78"/>
      <c r="U641" s="78"/>
      <c r="V641" s="78"/>
      <c r="W641" s="81" t="s">
        <v>1674</v>
      </c>
      <c r="X641" s="81" t="s">
        <v>1674</v>
      </c>
      <c r="Y641" s="78"/>
      <c r="Z641" s="78"/>
      <c r="AA641" s="81" t="s">
        <v>1674</v>
      </c>
      <c r="AB641" s="79">
        <v>1</v>
      </c>
      <c r="AC641" s="80" t="str">
        <f>REPLACE(INDEX(GroupVertices[Group],MATCH("~"&amp;Edges[[#This Row],[Vertex 1]],GroupVertices[Vertex],0)),1,1,"")</f>
        <v>3</v>
      </c>
      <c r="AD641" s="80" t="str">
        <f>REPLACE(INDEX(GroupVertices[Group],MATCH("~"&amp;Edges[[#This Row],[Vertex 2]],GroupVertices[Vertex],0)),1,1,"")</f>
        <v>1</v>
      </c>
      <c r="AE641" s="105"/>
      <c r="AF641" s="105"/>
      <c r="AG641" s="105"/>
      <c r="AH641" s="105"/>
      <c r="AI641" s="105"/>
      <c r="AJ641" s="105"/>
      <c r="AK641" s="105"/>
      <c r="AL641" s="105"/>
      <c r="AM641" s="105"/>
    </row>
    <row r="642" spans="1:39" ht="15">
      <c r="A642" s="62" t="s">
        <v>280</v>
      </c>
      <c r="B642" s="62" t="s">
        <v>267</v>
      </c>
      <c r="C642" s="63" t="s">
        <v>3598</v>
      </c>
      <c r="D642" s="64">
        <v>5</v>
      </c>
      <c r="E642" s="65" t="s">
        <v>132</v>
      </c>
      <c r="F642" s="66">
        <v>32</v>
      </c>
      <c r="G642" s="63"/>
      <c r="H642" s="67"/>
      <c r="I642" s="68"/>
      <c r="J642" s="68"/>
      <c r="K642" s="31" t="s">
        <v>65</v>
      </c>
      <c r="L642" s="76">
        <v>642</v>
      </c>
      <c r="M642" s="76"/>
      <c r="N642" s="70"/>
      <c r="O642" s="78" t="s">
        <v>305</v>
      </c>
      <c r="P642" s="78" t="s">
        <v>479</v>
      </c>
      <c r="Q642" s="78" t="s">
        <v>956</v>
      </c>
      <c r="R642" s="78" t="s">
        <v>955</v>
      </c>
      <c r="S642" s="78"/>
      <c r="T642" s="78"/>
      <c r="U642" s="78"/>
      <c r="V642" s="78"/>
      <c r="W642" s="81" t="s">
        <v>1674</v>
      </c>
      <c r="X642" s="81" t="s">
        <v>1674</v>
      </c>
      <c r="Y642" s="78"/>
      <c r="Z642" s="78"/>
      <c r="AA642" s="81" t="s">
        <v>1674</v>
      </c>
      <c r="AB642" s="79">
        <v>1</v>
      </c>
      <c r="AC642" s="80" t="str">
        <f>REPLACE(INDEX(GroupVertices[Group],MATCH("~"&amp;Edges[[#This Row],[Vertex 1]],GroupVertices[Vertex],0)),1,1,"")</f>
        <v>3</v>
      </c>
      <c r="AD642" s="80" t="str">
        <f>REPLACE(INDEX(GroupVertices[Group],MATCH("~"&amp;Edges[[#This Row],[Vertex 2]],GroupVertices[Vertex],0)),1,1,"")</f>
        <v>1</v>
      </c>
      <c r="AE642" s="105"/>
      <c r="AF642" s="105"/>
      <c r="AG642" s="105"/>
      <c r="AH642" s="105"/>
      <c r="AI642" s="105"/>
      <c r="AJ642" s="105"/>
      <c r="AK642" s="105"/>
      <c r="AL642" s="105"/>
      <c r="AM642" s="105"/>
    </row>
    <row r="643" spans="1:39" ht="15">
      <c r="A643" s="62" t="s">
        <v>284</v>
      </c>
      <c r="B643" s="62" t="s">
        <v>267</v>
      </c>
      <c r="C643" s="63" t="s">
        <v>3598</v>
      </c>
      <c r="D643" s="64">
        <v>5</v>
      </c>
      <c r="E643" s="65" t="s">
        <v>132</v>
      </c>
      <c r="F643" s="66">
        <v>32</v>
      </c>
      <c r="G643" s="63"/>
      <c r="H643" s="67"/>
      <c r="I643" s="68"/>
      <c r="J643" s="68"/>
      <c r="K643" s="31" t="s">
        <v>65</v>
      </c>
      <c r="L643" s="76">
        <v>643</v>
      </c>
      <c r="M643" s="76"/>
      <c r="N643" s="70"/>
      <c r="O643" s="78" t="s">
        <v>305</v>
      </c>
      <c r="P643" s="78" t="s">
        <v>501</v>
      </c>
      <c r="Q643" s="78" t="s">
        <v>1002</v>
      </c>
      <c r="R643" s="78" t="s">
        <v>995</v>
      </c>
      <c r="S643" s="78"/>
      <c r="T643" s="78"/>
      <c r="U643" s="78"/>
      <c r="V643" s="78"/>
      <c r="W643" s="81" t="s">
        <v>1674</v>
      </c>
      <c r="X643" s="81" t="s">
        <v>1674</v>
      </c>
      <c r="Y643" s="78"/>
      <c r="Z643" s="78"/>
      <c r="AA643" s="81" t="s">
        <v>1674</v>
      </c>
      <c r="AB643" s="79">
        <v>1</v>
      </c>
      <c r="AC643" s="80" t="str">
        <f>REPLACE(INDEX(GroupVertices[Group],MATCH("~"&amp;Edges[[#This Row],[Vertex 1]],GroupVertices[Vertex],0)),1,1,"")</f>
        <v>1</v>
      </c>
      <c r="AD643" s="80" t="str">
        <f>REPLACE(INDEX(GroupVertices[Group],MATCH("~"&amp;Edges[[#This Row],[Vertex 2]],GroupVertices[Vertex],0)),1,1,"")</f>
        <v>1</v>
      </c>
      <c r="AE643" s="105"/>
      <c r="AF643" s="105"/>
      <c r="AG643" s="105"/>
      <c r="AH643" s="105"/>
      <c r="AI643" s="105"/>
      <c r="AJ643" s="105"/>
      <c r="AK643" s="105"/>
      <c r="AL643" s="105"/>
      <c r="AM643" s="105"/>
    </row>
    <row r="644" spans="1:39" ht="15">
      <c r="A644" s="62" t="s">
        <v>273</v>
      </c>
      <c r="B644" s="62" t="s">
        <v>294</v>
      </c>
      <c r="C644" s="63" t="s">
        <v>3609</v>
      </c>
      <c r="D644" s="64">
        <v>10</v>
      </c>
      <c r="E644" s="65" t="s">
        <v>136</v>
      </c>
      <c r="F644" s="66">
        <v>22.18867924528302</v>
      </c>
      <c r="G644" s="63"/>
      <c r="H644" s="67"/>
      <c r="I644" s="68"/>
      <c r="J644" s="68"/>
      <c r="K644" s="31" t="s">
        <v>65</v>
      </c>
      <c r="L644" s="76">
        <v>644</v>
      </c>
      <c r="M644" s="76"/>
      <c r="N644" s="70"/>
      <c r="O644" s="78" t="s">
        <v>305</v>
      </c>
      <c r="P644" s="78" t="s">
        <v>513</v>
      </c>
      <c r="Q644" s="78" t="s">
        <v>1014</v>
      </c>
      <c r="R644" s="78" t="s">
        <v>1485</v>
      </c>
      <c r="S644" s="78"/>
      <c r="T644" s="78"/>
      <c r="U644" s="78"/>
      <c r="V644" s="78"/>
      <c r="W644" s="81" t="s">
        <v>1674</v>
      </c>
      <c r="X644" s="81" t="s">
        <v>1674</v>
      </c>
      <c r="Y644" s="78"/>
      <c r="Z644" s="78"/>
      <c r="AA644" s="81" t="s">
        <v>1674</v>
      </c>
      <c r="AB644" s="79">
        <v>21</v>
      </c>
      <c r="AC644" s="80" t="str">
        <f>REPLACE(INDEX(GroupVertices[Group],MATCH("~"&amp;Edges[[#This Row],[Vertex 1]],GroupVertices[Vertex],0)),1,1,"")</f>
        <v>6</v>
      </c>
      <c r="AD644" s="80" t="str">
        <f>REPLACE(INDEX(GroupVertices[Group],MATCH("~"&amp;Edges[[#This Row],[Vertex 2]],GroupVertices[Vertex],0)),1,1,"")</f>
        <v>2</v>
      </c>
      <c r="AE644" s="105"/>
      <c r="AF644" s="105"/>
      <c r="AG644" s="105"/>
      <c r="AH644" s="105"/>
      <c r="AI644" s="105"/>
      <c r="AJ644" s="105"/>
      <c r="AK644" s="105"/>
      <c r="AL644" s="105"/>
      <c r="AM644" s="105"/>
    </row>
    <row r="645" spans="1:39" ht="15">
      <c r="A645" s="62" t="s">
        <v>273</v>
      </c>
      <c r="B645" s="62" t="s">
        <v>294</v>
      </c>
      <c r="C645" s="63" t="s">
        <v>3609</v>
      </c>
      <c r="D645" s="64">
        <v>10</v>
      </c>
      <c r="E645" s="65" t="s">
        <v>136</v>
      </c>
      <c r="F645" s="66">
        <v>22.18867924528302</v>
      </c>
      <c r="G645" s="63"/>
      <c r="H645" s="67"/>
      <c r="I645" s="68"/>
      <c r="J645" s="68"/>
      <c r="K645" s="31" t="s">
        <v>65</v>
      </c>
      <c r="L645" s="76">
        <v>645</v>
      </c>
      <c r="M645" s="76"/>
      <c r="N645" s="70"/>
      <c r="O645" s="78" t="s">
        <v>305</v>
      </c>
      <c r="P645" s="78" t="s">
        <v>513</v>
      </c>
      <c r="Q645" s="78" t="s">
        <v>1014</v>
      </c>
      <c r="R645" s="78" t="s">
        <v>1486</v>
      </c>
      <c r="S645" s="78"/>
      <c r="T645" s="78"/>
      <c r="U645" s="78"/>
      <c r="V645" s="78"/>
      <c r="W645" s="81" t="s">
        <v>1674</v>
      </c>
      <c r="X645" s="81" t="s">
        <v>1674</v>
      </c>
      <c r="Y645" s="78"/>
      <c r="Z645" s="78"/>
      <c r="AA645" s="81" t="s">
        <v>1674</v>
      </c>
      <c r="AB645" s="79">
        <v>21</v>
      </c>
      <c r="AC645" s="80" t="str">
        <f>REPLACE(INDEX(GroupVertices[Group],MATCH("~"&amp;Edges[[#This Row],[Vertex 1]],GroupVertices[Vertex],0)),1,1,"")</f>
        <v>6</v>
      </c>
      <c r="AD645" s="80" t="str">
        <f>REPLACE(INDEX(GroupVertices[Group],MATCH("~"&amp;Edges[[#This Row],[Vertex 2]],GroupVertices[Vertex],0)),1,1,"")</f>
        <v>2</v>
      </c>
      <c r="AE645" s="105"/>
      <c r="AF645" s="105"/>
      <c r="AG645" s="105"/>
      <c r="AH645" s="105"/>
      <c r="AI645" s="105"/>
      <c r="AJ645" s="105"/>
      <c r="AK645" s="105"/>
      <c r="AL645" s="105"/>
      <c r="AM645" s="105"/>
    </row>
    <row r="646" spans="1:39" ht="15">
      <c r="A646" s="62" t="s">
        <v>273</v>
      </c>
      <c r="B646" s="62" t="s">
        <v>294</v>
      </c>
      <c r="C646" s="63" t="s">
        <v>3609</v>
      </c>
      <c r="D646" s="64">
        <v>10</v>
      </c>
      <c r="E646" s="65" t="s">
        <v>136</v>
      </c>
      <c r="F646" s="66">
        <v>22.18867924528302</v>
      </c>
      <c r="G646" s="63"/>
      <c r="H646" s="67"/>
      <c r="I646" s="68"/>
      <c r="J646" s="68"/>
      <c r="K646" s="31" t="s">
        <v>65</v>
      </c>
      <c r="L646" s="76">
        <v>646</v>
      </c>
      <c r="M646" s="76"/>
      <c r="N646" s="70"/>
      <c r="O646" s="78" t="s">
        <v>305</v>
      </c>
      <c r="P646" s="78" t="s">
        <v>513</v>
      </c>
      <c r="Q646" s="78" t="s">
        <v>1014</v>
      </c>
      <c r="R646" s="78" t="s">
        <v>1487</v>
      </c>
      <c r="S646" s="78"/>
      <c r="T646" s="78"/>
      <c r="U646" s="78"/>
      <c r="V646" s="78"/>
      <c r="W646" s="81" t="s">
        <v>1674</v>
      </c>
      <c r="X646" s="81" t="s">
        <v>1674</v>
      </c>
      <c r="Y646" s="78"/>
      <c r="Z646" s="78"/>
      <c r="AA646" s="81" t="s">
        <v>1674</v>
      </c>
      <c r="AB646" s="79">
        <v>21</v>
      </c>
      <c r="AC646" s="80" t="str">
        <f>REPLACE(INDEX(GroupVertices[Group],MATCH("~"&amp;Edges[[#This Row],[Vertex 1]],GroupVertices[Vertex],0)),1,1,"")</f>
        <v>6</v>
      </c>
      <c r="AD646" s="80" t="str">
        <f>REPLACE(INDEX(GroupVertices[Group],MATCH("~"&amp;Edges[[#This Row],[Vertex 2]],GroupVertices[Vertex],0)),1,1,"")</f>
        <v>2</v>
      </c>
      <c r="AE646" s="105"/>
      <c r="AF646" s="105"/>
      <c r="AG646" s="105"/>
      <c r="AH646" s="105"/>
      <c r="AI646" s="105"/>
      <c r="AJ646" s="105"/>
      <c r="AK646" s="105"/>
      <c r="AL646" s="105"/>
      <c r="AM646" s="105"/>
    </row>
    <row r="647" spans="1:39" ht="15">
      <c r="A647" s="62" t="s">
        <v>273</v>
      </c>
      <c r="B647" s="62" t="s">
        <v>294</v>
      </c>
      <c r="C647" s="63" t="s">
        <v>3609</v>
      </c>
      <c r="D647" s="64">
        <v>10</v>
      </c>
      <c r="E647" s="65" t="s">
        <v>136</v>
      </c>
      <c r="F647" s="66">
        <v>22.18867924528302</v>
      </c>
      <c r="G647" s="63"/>
      <c r="H647" s="67"/>
      <c r="I647" s="68"/>
      <c r="J647" s="68"/>
      <c r="K647" s="31" t="s">
        <v>65</v>
      </c>
      <c r="L647" s="76">
        <v>647</v>
      </c>
      <c r="M647" s="76"/>
      <c r="N647" s="70"/>
      <c r="O647" s="78" t="s">
        <v>305</v>
      </c>
      <c r="P647" s="78" t="s">
        <v>513</v>
      </c>
      <c r="Q647" s="78" t="s">
        <v>1014</v>
      </c>
      <c r="R647" s="78" t="s">
        <v>1488</v>
      </c>
      <c r="S647" s="78"/>
      <c r="T647" s="78"/>
      <c r="U647" s="78"/>
      <c r="V647" s="78"/>
      <c r="W647" s="81" t="s">
        <v>1674</v>
      </c>
      <c r="X647" s="81" t="s">
        <v>1674</v>
      </c>
      <c r="Y647" s="78"/>
      <c r="Z647" s="78"/>
      <c r="AA647" s="81" t="s">
        <v>1674</v>
      </c>
      <c r="AB647" s="79">
        <v>21</v>
      </c>
      <c r="AC647" s="80" t="str">
        <f>REPLACE(INDEX(GroupVertices[Group],MATCH("~"&amp;Edges[[#This Row],[Vertex 1]],GroupVertices[Vertex],0)),1,1,"")</f>
        <v>6</v>
      </c>
      <c r="AD647" s="80" t="str">
        <f>REPLACE(INDEX(GroupVertices[Group],MATCH("~"&amp;Edges[[#This Row],[Vertex 2]],GroupVertices[Vertex],0)),1,1,"")</f>
        <v>2</v>
      </c>
      <c r="AE647" s="105"/>
      <c r="AF647" s="105"/>
      <c r="AG647" s="105"/>
      <c r="AH647" s="105"/>
      <c r="AI647" s="105"/>
      <c r="AJ647" s="105"/>
      <c r="AK647" s="105"/>
      <c r="AL647" s="105"/>
      <c r="AM647" s="105"/>
    </row>
    <row r="648" spans="1:39" ht="15">
      <c r="A648" s="62" t="s">
        <v>273</v>
      </c>
      <c r="B648" s="62" t="s">
        <v>294</v>
      </c>
      <c r="C648" s="63" t="s">
        <v>3609</v>
      </c>
      <c r="D648" s="64">
        <v>10</v>
      </c>
      <c r="E648" s="65" t="s">
        <v>136</v>
      </c>
      <c r="F648" s="66">
        <v>22.18867924528302</v>
      </c>
      <c r="G648" s="63"/>
      <c r="H648" s="67"/>
      <c r="I648" s="68"/>
      <c r="J648" s="68"/>
      <c r="K648" s="31" t="s">
        <v>65</v>
      </c>
      <c r="L648" s="76">
        <v>648</v>
      </c>
      <c r="M648" s="76"/>
      <c r="N648" s="70"/>
      <c r="O648" s="78" t="s">
        <v>305</v>
      </c>
      <c r="P648" s="78" t="s">
        <v>513</v>
      </c>
      <c r="Q648" s="78" t="s">
        <v>1015</v>
      </c>
      <c r="R648" s="78" t="s">
        <v>1485</v>
      </c>
      <c r="S648" s="78"/>
      <c r="T648" s="78"/>
      <c r="U648" s="78"/>
      <c r="V648" s="78"/>
      <c r="W648" s="81" t="s">
        <v>1674</v>
      </c>
      <c r="X648" s="81" t="s">
        <v>1674</v>
      </c>
      <c r="Y648" s="78"/>
      <c r="Z648" s="78"/>
      <c r="AA648" s="81" t="s">
        <v>1674</v>
      </c>
      <c r="AB648" s="79">
        <v>21</v>
      </c>
      <c r="AC648" s="80" t="str">
        <f>REPLACE(INDEX(GroupVertices[Group],MATCH("~"&amp;Edges[[#This Row],[Vertex 1]],GroupVertices[Vertex],0)),1,1,"")</f>
        <v>6</v>
      </c>
      <c r="AD648" s="80" t="str">
        <f>REPLACE(INDEX(GroupVertices[Group],MATCH("~"&amp;Edges[[#This Row],[Vertex 2]],GroupVertices[Vertex],0)),1,1,"")</f>
        <v>2</v>
      </c>
      <c r="AE648" s="105"/>
      <c r="AF648" s="105"/>
      <c r="AG648" s="105"/>
      <c r="AH648" s="105"/>
      <c r="AI648" s="105"/>
      <c r="AJ648" s="105"/>
      <c r="AK648" s="105"/>
      <c r="AL648" s="105"/>
      <c r="AM648" s="105"/>
    </row>
    <row r="649" spans="1:39" ht="15">
      <c r="A649" s="62" t="s">
        <v>273</v>
      </c>
      <c r="B649" s="62" t="s">
        <v>294</v>
      </c>
      <c r="C649" s="63" t="s">
        <v>3609</v>
      </c>
      <c r="D649" s="64">
        <v>10</v>
      </c>
      <c r="E649" s="65" t="s">
        <v>136</v>
      </c>
      <c r="F649" s="66">
        <v>22.18867924528302</v>
      </c>
      <c r="G649" s="63"/>
      <c r="H649" s="67"/>
      <c r="I649" s="68"/>
      <c r="J649" s="68"/>
      <c r="K649" s="31" t="s">
        <v>65</v>
      </c>
      <c r="L649" s="76">
        <v>649</v>
      </c>
      <c r="M649" s="76"/>
      <c r="N649" s="70"/>
      <c r="O649" s="78" t="s">
        <v>305</v>
      </c>
      <c r="P649" s="78" t="s">
        <v>513</v>
      </c>
      <c r="Q649" s="78" t="s">
        <v>1015</v>
      </c>
      <c r="R649" s="78" t="s">
        <v>1486</v>
      </c>
      <c r="S649" s="78"/>
      <c r="T649" s="78"/>
      <c r="U649" s="78"/>
      <c r="V649" s="78"/>
      <c r="W649" s="81" t="s">
        <v>1674</v>
      </c>
      <c r="X649" s="81" t="s">
        <v>1674</v>
      </c>
      <c r="Y649" s="78"/>
      <c r="Z649" s="78"/>
      <c r="AA649" s="81" t="s">
        <v>1674</v>
      </c>
      <c r="AB649" s="79">
        <v>21</v>
      </c>
      <c r="AC649" s="80" t="str">
        <f>REPLACE(INDEX(GroupVertices[Group],MATCH("~"&amp;Edges[[#This Row],[Vertex 1]],GroupVertices[Vertex],0)),1,1,"")</f>
        <v>6</v>
      </c>
      <c r="AD649" s="80" t="str">
        <f>REPLACE(INDEX(GroupVertices[Group],MATCH("~"&amp;Edges[[#This Row],[Vertex 2]],GroupVertices[Vertex],0)),1,1,"")</f>
        <v>2</v>
      </c>
      <c r="AE649" s="105"/>
      <c r="AF649" s="105"/>
      <c r="AG649" s="105"/>
      <c r="AH649" s="105"/>
      <c r="AI649" s="105"/>
      <c r="AJ649" s="105"/>
      <c r="AK649" s="105"/>
      <c r="AL649" s="105"/>
      <c r="AM649" s="105"/>
    </row>
    <row r="650" spans="1:39" ht="15">
      <c r="A650" s="62" t="s">
        <v>273</v>
      </c>
      <c r="B650" s="62" t="s">
        <v>294</v>
      </c>
      <c r="C650" s="63" t="s">
        <v>3609</v>
      </c>
      <c r="D650" s="64">
        <v>10</v>
      </c>
      <c r="E650" s="65" t="s">
        <v>136</v>
      </c>
      <c r="F650" s="66">
        <v>22.18867924528302</v>
      </c>
      <c r="G650" s="63"/>
      <c r="H650" s="67"/>
      <c r="I650" s="68"/>
      <c r="J650" s="68"/>
      <c r="K650" s="31" t="s">
        <v>65</v>
      </c>
      <c r="L650" s="76">
        <v>650</v>
      </c>
      <c r="M650" s="76"/>
      <c r="N650" s="70"/>
      <c r="O650" s="78" t="s">
        <v>305</v>
      </c>
      <c r="P650" s="78" t="s">
        <v>513</v>
      </c>
      <c r="Q650" s="78" t="s">
        <v>1015</v>
      </c>
      <c r="R650" s="78" t="s">
        <v>1487</v>
      </c>
      <c r="S650" s="78"/>
      <c r="T650" s="78"/>
      <c r="U650" s="78"/>
      <c r="V650" s="78"/>
      <c r="W650" s="81" t="s">
        <v>1674</v>
      </c>
      <c r="X650" s="81" t="s">
        <v>1674</v>
      </c>
      <c r="Y650" s="78"/>
      <c r="Z650" s="78"/>
      <c r="AA650" s="81" t="s">
        <v>1674</v>
      </c>
      <c r="AB650" s="79">
        <v>21</v>
      </c>
      <c r="AC650" s="80" t="str">
        <f>REPLACE(INDEX(GroupVertices[Group],MATCH("~"&amp;Edges[[#This Row],[Vertex 1]],GroupVertices[Vertex],0)),1,1,"")</f>
        <v>6</v>
      </c>
      <c r="AD650" s="80" t="str">
        <f>REPLACE(INDEX(GroupVertices[Group],MATCH("~"&amp;Edges[[#This Row],[Vertex 2]],GroupVertices[Vertex],0)),1,1,"")</f>
        <v>2</v>
      </c>
      <c r="AE650" s="105"/>
      <c r="AF650" s="105"/>
      <c r="AG650" s="105"/>
      <c r="AH650" s="105"/>
      <c r="AI650" s="105"/>
      <c r="AJ650" s="105"/>
      <c r="AK650" s="105"/>
      <c r="AL650" s="105"/>
      <c r="AM650" s="105"/>
    </row>
    <row r="651" spans="1:39" ht="15">
      <c r="A651" s="62" t="s">
        <v>273</v>
      </c>
      <c r="B651" s="62" t="s">
        <v>294</v>
      </c>
      <c r="C651" s="63" t="s">
        <v>3609</v>
      </c>
      <c r="D651" s="64">
        <v>10</v>
      </c>
      <c r="E651" s="65" t="s">
        <v>136</v>
      </c>
      <c r="F651" s="66">
        <v>22.18867924528302</v>
      </c>
      <c r="G651" s="63"/>
      <c r="H651" s="67"/>
      <c r="I651" s="68"/>
      <c r="J651" s="68"/>
      <c r="K651" s="31" t="s">
        <v>65</v>
      </c>
      <c r="L651" s="76">
        <v>651</v>
      </c>
      <c r="M651" s="76"/>
      <c r="N651" s="70"/>
      <c r="O651" s="78" t="s">
        <v>305</v>
      </c>
      <c r="P651" s="78" t="s">
        <v>513</v>
      </c>
      <c r="Q651" s="78" t="s">
        <v>1015</v>
      </c>
      <c r="R651" s="78" t="s">
        <v>1488</v>
      </c>
      <c r="S651" s="78"/>
      <c r="T651" s="78"/>
      <c r="U651" s="78"/>
      <c r="V651" s="78"/>
      <c r="W651" s="81" t="s">
        <v>1674</v>
      </c>
      <c r="X651" s="81" t="s">
        <v>1674</v>
      </c>
      <c r="Y651" s="78"/>
      <c r="Z651" s="78"/>
      <c r="AA651" s="81" t="s">
        <v>1674</v>
      </c>
      <c r="AB651" s="79">
        <v>21</v>
      </c>
      <c r="AC651" s="80" t="str">
        <f>REPLACE(INDEX(GroupVertices[Group],MATCH("~"&amp;Edges[[#This Row],[Vertex 1]],GroupVertices[Vertex],0)),1,1,"")</f>
        <v>6</v>
      </c>
      <c r="AD651" s="80" t="str">
        <f>REPLACE(INDEX(GroupVertices[Group],MATCH("~"&amp;Edges[[#This Row],[Vertex 2]],GroupVertices[Vertex],0)),1,1,"")</f>
        <v>2</v>
      </c>
      <c r="AE651" s="105"/>
      <c r="AF651" s="105"/>
      <c r="AG651" s="105"/>
      <c r="AH651" s="105"/>
      <c r="AI651" s="105"/>
      <c r="AJ651" s="105"/>
      <c r="AK651" s="105"/>
      <c r="AL651" s="105"/>
      <c r="AM651" s="105"/>
    </row>
    <row r="652" spans="1:39" ht="15">
      <c r="A652" s="62" t="s">
        <v>273</v>
      </c>
      <c r="B652" s="62" t="s">
        <v>294</v>
      </c>
      <c r="C652" s="63" t="s">
        <v>3609</v>
      </c>
      <c r="D652" s="64">
        <v>10</v>
      </c>
      <c r="E652" s="65" t="s">
        <v>136</v>
      </c>
      <c r="F652" s="66">
        <v>22.18867924528302</v>
      </c>
      <c r="G652" s="63"/>
      <c r="H652" s="67"/>
      <c r="I652" s="68"/>
      <c r="J652" s="68"/>
      <c r="K652" s="31" t="s">
        <v>65</v>
      </c>
      <c r="L652" s="76">
        <v>652</v>
      </c>
      <c r="M652" s="76"/>
      <c r="N652" s="70"/>
      <c r="O652" s="78" t="s">
        <v>305</v>
      </c>
      <c r="P652" s="78" t="s">
        <v>513</v>
      </c>
      <c r="Q652" s="78" t="s">
        <v>1016</v>
      </c>
      <c r="R652" s="78" t="s">
        <v>1485</v>
      </c>
      <c r="S652" s="78"/>
      <c r="T652" s="78"/>
      <c r="U652" s="78"/>
      <c r="V652" s="78"/>
      <c r="W652" s="81" t="s">
        <v>1674</v>
      </c>
      <c r="X652" s="81" t="s">
        <v>1674</v>
      </c>
      <c r="Y652" s="78"/>
      <c r="Z652" s="78"/>
      <c r="AA652" s="81" t="s">
        <v>1674</v>
      </c>
      <c r="AB652" s="79">
        <v>21</v>
      </c>
      <c r="AC652" s="80" t="str">
        <f>REPLACE(INDEX(GroupVertices[Group],MATCH("~"&amp;Edges[[#This Row],[Vertex 1]],GroupVertices[Vertex],0)),1,1,"")</f>
        <v>6</v>
      </c>
      <c r="AD652" s="80" t="str">
        <f>REPLACE(INDEX(GroupVertices[Group],MATCH("~"&amp;Edges[[#This Row],[Vertex 2]],GroupVertices[Vertex],0)),1,1,"")</f>
        <v>2</v>
      </c>
      <c r="AE652" s="105"/>
      <c r="AF652" s="105"/>
      <c r="AG652" s="105"/>
      <c r="AH652" s="105"/>
      <c r="AI652" s="105"/>
      <c r="AJ652" s="105"/>
      <c r="AK652" s="105"/>
      <c r="AL652" s="105"/>
      <c r="AM652" s="105"/>
    </row>
    <row r="653" spans="1:39" ht="15">
      <c r="A653" s="62" t="s">
        <v>273</v>
      </c>
      <c r="B653" s="62" t="s">
        <v>294</v>
      </c>
      <c r="C653" s="63" t="s">
        <v>3609</v>
      </c>
      <c r="D653" s="64">
        <v>10</v>
      </c>
      <c r="E653" s="65" t="s">
        <v>136</v>
      </c>
      <c r="F653" s="66">
        <v>22.18867924528302</v>
      </c>
      <c r="G653" s="63"/>
      <c r="H653" s="67"/>
      <c r="I653" s="68"/>
      <c r="J653" s="68"/>
      <c r="K653" s="31" t="s">
        <v>65</v>
      </c>
      <c r="L653" s="76">
        <v>653</v>
      </c>
      <c r="M653" s="76"/>
      <c r="N653" s="70"/>
      <c r="O653" s="78" t="s">
        <v>305</v>
      </c>
      <c r="P653" s="78" t="s">
        <v>513</v>
      </c>
      <c r="Q653" s="78" t="s">
        <v>1016</v>
      </c>
      <c r="R653" s="78" t="s">
        <v>1486</v>
      </c>
      <c r="S653" s="78"/>
      <c r="T653" s="78"/>
      <c r="U653" s="78"/>
      <c r="V653" s="78"/>
      <c r="W653" s="81" t="s">
        <v>1674</v>
      </c>
      <c r="X653" s="81" t="s">
        <v>1674</v>
      </c>
      <c r="Y653" s="78"/>
      <c r="Z653" s="78"/>
      <c r="AA653" s="81" t="s">
        <v>1674</v>
      </c>
      <c r="AB653" s="79">
        <v>21</v>
      </c>
      <c r="AC653" s="80" t="str">
        <f>REPLACE(INDEX(GroupVertices[Group],MATCH("~"&amp;Edges[[#This Row],[Vertex 1]],GroupVertices[Vertex],0)),1,1,"")</f>
        <v>6</v>
      </c>
      <c r="AD653" s="80" t="str">
        <f>REPLACE(INDEX(GroupVertices[Group],MATCH("~"&amp;Edges[[#This Row],[Vertex 2]],GroupVertices[Vertex],0)),1,1,"")</f>
        <v>2</v>
      </c>
      <c r="AE653" s="105"/>
      <c r="AF653" s="105"/>
      <c r="AG653" s="105"/>
      <c r="AH653" s="105"/>
      <c r="AI653" s="105"/>
      <c r="AJ653" s="105"/>
      <c r="AK653" s="105"/>
      <c r="AL653" s="105"/>
      <c r="AM653" s="105"/>
    </row>
    <row r="654" spans="1:39" ht="15">
      <c r="A654" s="62" t="s">
        <v>273</v>
      </c>
      <c r="B654" s="62" t="s">
        <v>294</v>
      </c>
      <c r="C654" s="63" t="s">
        <v>3609</v>
      </c>
      <c r="D654" s="64">
        <v>10</v>
      </c>
      <c r="E654" s="65" t="s">
        <v>136</v>
      </c>
      <c r="F654" s="66">
        <v>22.18867924528302</v>
      </c>
      <c r="G654" s="63"/>
      <c r="H654" s="67"/>
      <c r="I654" s="68"/>
      <c r="J654" s="68"/>
      <c r="K654" s="31" t="s">
        <v>65</v>
      </c>
      <c r="L654" s="76">
        <v>654</v>
      </c>
      <c r="M654" s="76"/>
      <c r="N654" s="70"/>
      <c r="O654" s="78" t="s">
        <v>305</v>
      </c>
      <c r="P654" s="78" t="s">
        <v>513</v>
      </c>
      <c r="Q654" s="78" t="s">
        <v>1016</v>
      </c>
      <c r="R654" s="78" t="s">
        <v>1487</v>
      </c>
      <c r="S654" s="78"/>
      <c r="T654" s="78"/>
      <c r="U654" s="78"/>
      <c r="V654" s="78"/>
      <c r="W654" s="81" t="s">
        <v>1674</v>
      </c>
      <c r="X654" s="81" t="s">
        <v>1674</v>
      </c>
      <c r="Y654" s="78"/>
      <c r="Z654" s="78"/>
      <c r="AA654" s="81" t="s">
        <v>1674</v>
      </c>
      <c r="AB654" s="79">
        <v>21</v>
      </c>
      <c r="AC654" s="80" t="str">
        <f>REPLACE(INDEX(GroupVertices[Group],MATCH("~"&amp;Edges[[#This Row],[Vertex 1]],GroupVertices[Vertex],0)),1,1,"")</f>
        <v>6</v>
      </c>
      <c r="AD654" s="80" t="str">
        <f>REPLACE(INDEX(GroupVertices[Group],MATCH("~"&amp;Edges[[#This Row],[Vertex 2]],GroupVertices[Vertex],0)),1,1,"")</f>
        <v>2</v>
      </c>
      <c r="AE654" s="105"/>
      <c r="AF654" s="105"/>
      <c r="AG654" s="105"/>
      <c r="AH654" s="105"/>
      <c r="AI654" s="105"/>
      <c r="AJ654" s="105"/>
      <c r="AK654" s="105"/>
      <c r="AL654" s="105"/>
      <c r="AM654" s="105"/>
    </row>
    <row r="655" spans="1:39" ht="15">
      <c r="A655" s="62" t="s">
        <v>273</v>
      </c>
      <c r="B655" s="62" t="s">
        <v>294</v>
      </c>
      <c r="C655" s="63" t="s">
        <v>3609</v>
      </c>
      <c r="D655" s="64">
        <v>10</v>
      </c>
      <c r="E655" s="65" t="s">
        <v>136</v>
      </c>
      <c r="F655" s="66">
        <v>22.18867924528302</v>
      </c>
      <c r="G655" s="63"/>
      <c r="H655" s="67"/>
      <c r="I655" s="68"/>
      <c r="J655" s="68"/>
      <c r="K655" s="31" t="s">
        <v>65</v>
      </c>
      <c r="L655" s="76">
        <v>655</v>
      </c>
      <c r="M655" s="76"/>
      <c r="N655" s="70"/>
      <c r="O655" s="78" t="s">
        <v>305</v>
      </c>
      <c r="P655" s="78" t="s">
        <v>513</v>
      </c>
      <c r="Q655" s="78" t="s">
        <v>1016</v>
      </c>
      <c r="R655" s="78" t="s">
        <v>1488</v>
      </c>
      <c r="S655" s="78"/>
      <c r="T655" s="78"/>
      <c r="U655" s="78"/>
      <c r="V655" s="78"/>
      <c r="W655" s="81" t="s">
        <v>1674</v>
      </c>
      <c r="X655" s="81" t="s">
        <v>1674</v>
      </c>
      <c r="Y655" s="78"/>
      <c r="Z655" s="78"/>
      <c r="AA655" s="81" t="s">
        <v>1674</v>
      </c>
      <c r="AB655" s="79">
        <v>21</v>
      </c>
      <c r="AC655" s="80" t="str">
        <f>REPLACE(INDEX(GroupVertices[Group],MATCH("~"&amp;Edges[[#This Row],[Vertex 1]],GroupVertices[Vertex],0)),1,1,"")</f>
        <v>6</v>
      </c>
      <c r="AD655" s="80" t="str">
        <f>REPLACE(INDEX(GroupVertices[Group],MATCH("~"&amp;Edges[[#This Row],[Vertex 2]],GroupVertices[Vertex],0)),1,1,"")</f>
        <v>2</v>
      </c>
      <c r="AE655" s="105"/>
      <c r="AF655" s="105"/>
      <c r="AG655" s="105"/>
      <c r="AH655" s="105"/>
      <c r="AI655" s="105"/>
      <c r="AJ655" s="105"/>
      <c r="AK655" s="105"/>
      <c r="AL655" s="105"/>
      <c r="AM655" s="105"/>
    </row>
    <row r="656" spans="1:39" ht="15">
      <c r="A656" s="62" t="s">
        <v>273</v>
      </c>
      <c r="B656" s="62" t="s">
        <v>294</v>
      </c>
      <c r="C656" s="63" t="s">
        <v>3609</v>
      </c>
      <c r="D656" s="64">
        <v>10</v>
      </c>
      <c r="E656" s="65" t="s">
        <v>136</v>
      </c>
      <c r="F656" s="66">
        <v>22.18867924528302</v>
      </c>
      <c r="G656" s="63"/>
      <c r="H656" s="67"/>
      <c r="I656" s="68"/>
      <c r="J656" s="68"/>
      <c r="K656" s="31" t="s">
        <v>65</v>
      </c>
      <c r="L656" s="76">
        <v>656</v>
      </c>
      <c r="M656" s="76"/>
      <c r="N656" s="70"/>
      <c r="O656" s="78" t="s">
        <v>305</v>
      </c>
      <c r="P656" s="78" t="s">
        <v>472</v>
      </c>
      <c r="Q656" s="78" t="s">
        <v>960</v>
      </c>
      <c r="R656" s="78" t="s">
        <v>1447</v>
      </c>
      <c r="S656" s="78"/>
      <c r="T656" s="78"/>
      <c r="U656" s="78"/>
      <c r="V656" s="78"/>
      <c r="W656" s="81" t="s">
        <v>1674</v>
      </c>
      <c r="X656" s="81" t="s">
        <v>1674</v>
      </c>
      <c r="Y656" s="78"/>
      <c r="Z656" s="78"/>
      <c r="AA656" s="81" t="s">
        <v>1674</v>
      </c>
      <c r="AB656" s="79">
        <v>21</v>
      </c>
      <c r="AC656" s="80" t="str">
        <f>REPLACE(INDEX(GroupVertices[Group],MATCH("~"&amp;Edges[[#This Row],[Vertex 1]],GroupVertices[Vertex],0)),1,1,"")</f>
        <v>6</v>
      </c>
      <c r="AD656" s="80" t="str">
        <f>REPLACE(INDEX(GroupVertices[Group],MATCH("~"&amp;Edges[[#This Row],[Vertex 2]],GroupVertices[Vertex],0)),1,1,"")</f>
        <v>2</v>
      </c>
      <c r="AE656" s="105"/>
      <c r="AF656" s="105"/>
      <c r="AG656" s="105"/>
      <c r="AH656" s="105"/>
      <c r="AI656" s="105"/>
      <c r="AJ656" s="105"/>
      <c r="AK656" s="105"/>
      <c r="AL656" s="105"/>
      <c r="AM656" s="105"/>
    </row>
    <row r="657" spans="1:39" ht="15">
      <c r="A657" s="62" t="s">
        <v>273</v>
      </c>
      <c r="B657" s="62" t="s">
        <v>294</v>
      </c>
      <c r="C657" s="63" t="s">
        <v>3609</v>
      </c>
      <c r="D657" s="64">
        <v>10</v>
      </c>
      <c r="E657" s="65" t="s">
        <v>136</v>
      </c>
      <c r="F657" s="66">
        <v>22.18867924528302</v>
      </c>
      <c r="G657" s="63"/>
      <c r="H657" s="67"/>
      <c r="I657" s="68"/>
      <c r="J657" s="68"/>
      <c r="K657" s="31" t="s">
        <v>65</v>
      </c>
      <c r="L657" s="76">
        <v>657</v>
      </c>
      <c r="M657" s="76"/>
      <c r="N657" s="70"/>
      <c r="O657" s="78" t="s">
        <v>305</v>
      </c>
      <c r="P657" s="78" t="s">
        <v>514</v>
      </c>
      <c r="Q657" s="78" t="s">
        <v>1017</v>
      </c>
      <c r="R657" s="78" t="s">
        <v>1489</v>
      </c>
      <c r="S657" s="78"/>
      <c r="T657" s="78"/>
      <c r="U657" s="78"/>
      <c r="V657" s="78"/>
      <c r="W657" s="81" t="s">
        <v>1674</v>
      </c>
      <c r="X657" s="81" t="s">
        <v>1674</v>
      </c>
      <c r="Y657" s="78"/>
      <c r="Z657" s="78"/>
      <c r="AA657" s="81" t="s">
        <v>1674</v>
      </c>
      <c r="AB657" s="79">
        <v>21</v>
      </c>
      <c r="AC657" s="80" t="str">
        <f>REPLACE(INDEX(GroupVertices[Group],MATCH("~"&amp;Edges[[#This Row],[Vertex 1]],GroupVertices[Vertex],0)),1,1,"")</f>
        <v>6</v>
      </c>
      <c r="AD657" s="80" t="str">
        <f>REPLACE(INDEX(GroupVertices[Group],MATCH("~"&amp;Edges[[#This Row],[Vertex 2]],GroupVertices[Vertex],0)),1,1,"")</f>
        <v>2</v>
      </c>
      <c r="AE657" s="105"/>
      <c r="AF657" s="105"/>
      <c r="AG657" s="105"/>
      <c r="AH657" s="105"/>
      <c r="AI657" s="105"/>
      <c r="AJ657" s="105"/>
      <c r="AK657" s="105"/>
      <c r="AL657" s="105"/>
      <c r="AM657" s="105"/>
    </row>
    <row r="658" spans="1:39" ht="15">
      <c r="A658" s="62" t="s">
        <v>273</v>
      </c>
      <c r="B658" s="62" t="s">
        <v>294</v>
      </c>
      <c r="C658" s="63" t="s">
        <v>3609</v>
      </c>
      <c r="D658" s="64">
        <v>10</v>
      </c>
      <c r="E658" s="65" t="s">
        <v>136</v>
      </c>
      <c r="F658" s="66">
        <v>22.18867924528302</v>
      </c>
      <c r="G658" s="63"/>
      <c r="H658" s="67"/>
      <c r="I658" s="68"/>
      <c r="J658" s="68"/>
      <c r="K658" s="31" t="s">
        <v>65</v>
      </c>
      <c r="L658" s="76">
        <v>658</v>
      </c>
      <c r="M658" s="76"/>
      <c r="N658" s="70"/>
      <c r="O658" s="78" t="s">
        <v>305</v>
      </c>
      <c r="P658" s="78" t="s">
        <v>514</v>
      </c>
      <c r="Q658" s="78" t="s">
        <v>1017</v>
      </c>
      <c r="R658" s="78" t="s">
        <v>1490</v>
      </c>
      <c r="S658" s="78"/>
      <c r="T658" s="78"/>
      <c r="U658" s="78"/>
      <c r="V658" s="78"/>
      <c r="W658" s="81" t="s">
        <v>1674</v>
      </c>
      <c r="X658" s="81" t="s">
        <v>1674</v>
      </c>
      <c r="Y658" s="78"/>
      <c r="Z658" s="78"/>
      <c r="AA658" s="81" t="s">
        <v>1674</v>
      </c>
      <c r="AB658" s="79">
        <v>21</v>
      </c>
      <c r="AC658" s="80" t="str">
        <f>REPLACE(INDEX(GroupVertices[Group],MATCH("~"&amp;Edges[[#This Row],[Vertex 1]],GroupVertices[Vertex],0)),1,1,"")</f>
        <v>6</v>
      </c>
      <c r="AD658" s="80" t="str">
        <f>REPLACE(INDEX(GroupVertices[Group],MATCH("~"&amp;Edges[[#This Row],[Vertex 2]],GroupVertices[Vertex],0)),1,1,"")</f>
        <v>2</v>
      </c>
      <c r="AE658" s="105"/>
      <c r="AF658" s="105"/>
      <c r="AG658" s="105"/>
      <c r="AH658" s="105"/>
      <c r="AI658" s="105"/>
      <c r="AJ658" s="105"/>
      <c r="AK658" s="105"/>
      <c r="AL658" s="105"/>
      <c r="AM658" s="105"/>
    </row>
    <row r="659" spans="1:39" ht="15">
      <c r="A659" s="62" t="s">
        <v>273</v>
      </c>
      <c r="B659" s="62" t="s">
        <v>294</v>
      </c>
      <c r="C659" s="63" t="s">
        <v>3609</v>
      </c>
      <c r="D659" s="64">
        <v>10</v>
      </c>
      <c r="E659" s="65" t="s">
        <v>136</v>
      </c>
      <c r="F659" s="66">
        <v>22.18867924528302</v>
      </c>
      <c r="G659" s="63"/>
      <c r="H659" s="67"/>
      <c r="I659" s="68"/>
      <c r="J659" s="68"/>
      <c r="K659" s="31" t="s">
        <v>65</v>
      </c>
      <c r="L659" s="76">
        <v>659</v>
      </c>
      <c r="M659" s="76"/>
      <c r="N659" s="70"/>
      <c r="O659" s="78" t="s">
        <v>305</v>
      </c>
      <c r="P659" s="78" t="s">
        <v>513</v>
      </c>
      <c r="Q659" s="78" t="s">
        <v>1018</v>
      </c>
      <c r="R659" s="78" t="s">
        <v>1485</v>
      </c>
      <c r="S659" s="78"/>
      <c r="T659" s="78"/>
      <c r="U659" s="78"/>
      <c r="V659" s="78"/>
      <c r="W659" s="81" t="s">
        <v>1674</v>
      </c>
      <c r="X659" s="81" t="s">
        <v>1674</v>
      </c>
      <c r="Y659" s="78"/>
      <c r="Z659" s="78"/>
      <c r="AA659" s="81" t="s">
        <v>1674</v>
      </c>
      <c r="AB659" s="79">
        <v>21</v>
      </c>
      <c r="AC659" s="80" t="str">
        <f>REPLACE(INDEX(GroupVertices[Group],MATCH("~"&amp;Edges[[#This Row],[Vertex 1]],GroupVertices[Vertex],0)),1,1,"")</f>
        <v>6</v>
      </c>
      <c r="AD659" s="80" t="str">
        <f>REPLACE(INDEX(GroupVertices[Group],MATCH("~"&amp;Edges[[#This Row],[Vertex 2]],GroupVertices[Vertex],0)),1,1,"")</f>
        <v>2</v>
      </c>
      <c r="AE659" s="105"/>
      <c r="AF659" s="105"/>
      <c r="AG659" s="105"/>
      <c r="AH659" s="105"/>
      <c r="AI659" s="105"/>
      <c r="AJ659" s="105"/>
      <c r="AK659" s="105"/>
      <c r="AL659" s="105"/>
      <c r="AM659" s="105"/>
    </row>
    <row r="660" spans="1:39" ht="15">
      <c r="A660" s="62" t="s">
        <v>273</v>
      </c>
      <c r="B660" s="62" t="s">
        <v>294</v>
      </c>
      <c r="C660" s="63" t="s">
        <v>3609</v>
      </c>
      <c r="D660" s="64">
        <v>10</v>
      </c>
      <c r="E660" s="65" t="s">
        <v>136</v>
      </c>
      <c r="F660" s="66">
        <v>22.18867924528302</v>
      </c>
      <c r="G660" s="63"/>
      <c r="H660" s="67"/>
      <c r="I660" s="68"/>
      <c r="J660" s="68"/>
      <c r="K660" s="31" t="s">
        <v>65</v>
      </c>
      <c r="L660" s="76">
        <v>660</v>
      </c>
      <c r="M660" s="76"/>
      <c r="N660" s="70"/>
      <c r="O660" s="78" t="s">
        <v>305</v>
      </c>
      <c r="P660" s="78" t="s">
        <v>513</v>
      </c>
      <c r="Q660" s="78" t="s">
        <v>1018</v>
      </c>
      <c r="R660" s="78" t="s">
        <v>1486</v>
      </c>
      <c r="S660" s="78"/>
      <c r="T660" s="78"/>
      <c r="U660" s="78"/>
      <c r="V660" s="78"/>
      <c r="W660" s="81" t="s">
        <v>1674</v>
      </c>
      <c r="X660" s="81" t="s">
        <v>1674</v>
      </c>
      <c r="Y660" s="78"/>
      <c r="Z660" s="78"/>
      <c r="AA660" s="81" t="s">
        <v>1674</v>
      </c>
      <c r="AB660" s="79">
        <v>21</v>
      </c>
      <c r="AC660" s="80" t="str">
        <f>REPLACE(INDEX(GroupVertices[Group],MATCH("~"&amp;Edges[[#This Row],[Vertex 1]],GroupVertices[Vertex],0)),1,1,"")</f>
        <v>6</v>
      </c>
      <c r="AD660" s="80" t="str">
        <f>REPLACE(INDEX(GroupVertices[Group],MATCH("~"&amp;Edges[[#This Row],[Vertex 2]],GroupVertices[Vertex],0)),1,1,"")</f>
        <v>2</v>
      </c>
      <c r="AE660" s="105"/>
      <c r="AF660" s="105"/>
      <c r="AG660" s="105"/>
      <c r="AH660" s="105"/>
      <c r="AI660" s="105"/>
      <c r="AJ660" s="105"/>
      <c r="AK660" s="105"/>
      <c r="AL660" s="105"/>
      <c r="AM660" s="105"/>
    </row>
    <row r="661" spans="1:39" ht="15">
      <c r="A661" s="62" t="s">
        <v>273</v>
      </c>
      <c r="B661" s="62" t="s">
        <v>294</v>
      </c>
      <c r="C661" s="63" t="s">
        <v>3609</v>
      </c>
      <c r="D661" s="64">
        <v>10</v>
      </c>
      <c r="E661" s="65" t="s">
        <v>136</v>
      </c>
      <c r="F661" s="66">
        <v>22.18867924528302</v>
      </c>
      <c r="G661" s="63"/>
      <c r="H661" s="67"/>
      <c r="I661" s="68"/>
      <c r="J661" s="68"/>
      <c r="K661" s="31" t="s">
        <v>65</v>
      </c>
      <c r="L661" s="76">
        <v>661</v>
      </c>
      <c r="M661" s="76"/>
      <c r="N661" s="70"/>
      <c r="O661" s="78" t="s">
        <v>305</v>
      </c>
      <c r="P661" s="78" t="s">
        <v>513</v>
      </c>
      <c r="Q661" s="78" t="s">
        <v>1018</v>
      </c>
      <c r="R661" s="78" t="s">
        <v>1487</v>
      </c>
      <c r="S661" s="78"/>
      <c r="T661" s="78"/>
      <c r="U661" s="78"/>
      <c r="V661" s="78"/>
      <c r="W661" s="81" t="s">
        <v>1674</v>
      </c>
      <c r="X661" s="81" t="s">
        <v>1674</v>
      </c>
      <c r="Y661" s="78"/>
      <c r="Z661" s="78"/>
      <c r="AA661" s="81" t="s">
        <v>1674</v>
      </c>
      <c r="AB661" s="79">
        <v>21</v>
      </c>
      <c r="AC661" s="80" t="str">
        <f>REPLACE(INDEX(GroupVertices[Group],MATCH("~"&amp;Edges[[#This Row],[Vertex 1]],GroupVertices[Vertex],0)),1,1,"")</f>
        <v>6</v>
      </c>
      <c r="AD661" s="80" t="str">
        <f>REPLACE(INDEX(GroupVertices[Group],MATCH("~"&amp;Edges[[#This Row],[Vertex 2]],GroupVertices[Vertex],0)),1,1,"")</f>
        <v>2</v>
      </c>
      <c r="AE661" s="105"/>
      <c r="AF661" s="105"/>
      <c r="AG661" s="105"/>
      <c r="AH661" s="105"/>
      <c r="AI661" s="105"/>
      <c r="AJ661" s="105"/>
      <c r="AK661" s="105"/>
      <c r="AL661" s="105"/>
      <c r="AM661" s="105"/>
    </row>
    <row r="662" spans="1:39" ht="15">
      <c r="A662" s="62" t="s">
        <v>273</v>
      </c>
      <c r="B662" s="62" t="s">
        <v>294</v>
      </c>
      <c r="C662" s="63" t="s">
        <v>3609</v>
      </c>
      <c r="D662" s="64">
        <v>10</v>
      </c>
      <c r="E662" s="65" t="s">
        <v>136</v>
      </c>
      <c r="F662" s="66">
        <v>22.18867924528302</v>
      </c>
      <c r="G662" s="63"/>
      <c r="H662" s="67"/>
      <c r="I662" s="68"/>
      <c r="J662" s="68"/>
      <c r="K662" s="31" t="s">
        <v>65</v>
      </c>
      <c r="L662" s="76">
        <v>662</v>
      </c>
      <c r="M662" s="76"/>
      <c r="N662" s="70"/>
      <c r="O662" s="78" t="s">
        <v>305</v>
      </c>
      <c r="P662" s="78" t="s">
        <v>513</v>
      </c>
      <c r="Q662" s="78" t="s">
        <v>1018</v>
      </c>
      <c r="R662" s="78" t="s">
        <v>1488</v>
      </c>
      <c r="S662" s="78"/>
      <c r="T662" s="78"/>
      <c r="U662" s="78"/>
      <c r="V662" s="78"/>
      <c r="W662" s="81" t="s">
        <v>1674</v>
      </c>
      <c r="X662" s="81" t="s">
        <v>1674</v>
      </c>
      <c r="Y662" s="78"/>
      <c r="Z662" s="78"/>
      <c r="AA662" s="81" t="s">
        <v>1674</v>
      </c>
      <c r="AB662" s="79">
        <v>21</v>
      </c>
      <c r="AC662" s="80" t="str">
        <f>REPLACE(INDEX(GroupVertices[Group],MATCH("~"&amp;Edges[[#This Row],[Vertex 1]],GroupVertices[Vertex],0)),1,1,"")</f>
        <v>6</v>
      </c>
      <c r="AD662" s="80" t="str">
        <f>REPLACE(INDEX(GroupVertices[Group],MATCH("~"&amp;Edges[[#This Row],[Vertex 2]],GroupVertices[Vertex],0)),1,1,"")</f>
        <v>2</v>
      </c>
      <c r="AE662" s="105"/>
      <c r="AF662" s="105"/>
      <c r="AG662" s="105"/>
      <c r="AH662" s="105"/>
      <c r="AI662" s="105"/>
      <c r="AJ662" s="105"/>
      <c r="AK662" s="105"/>
      <c r="AL662" s="105"/>
      <c r="AM662" s="105"/>
    </row>
    <row r="663" spans="1:39" ht="15">
      <c r="A663" s="62" t="s">
        <v>273</v>
      </c>
      <c r="B663" s="62" t="s">
        <v>294</v>
      </c>
      <c r="C663" s="63" t="s">
        <v>3609</v>
      </c>
      <c r="D663" s="64">
        <v>10</v>
      </c>
      <c r="E663" s="65" t="s">
        <v>136</v>
      </c>
      <c r="F663" s="66">
        <v>22.18867924528302</v>
      </c>
      <c r="G663" s="63"/>
      <c r="H663" s="67"/>
      <c r="I663" s="68"/>
      <c r="J663" s="68"/>
      <c r="K663" s="31" t="s">
        <v>65</v>
      </c>
      <c r="L663" s="76">
        <v>663</v>
      </c>
      <c r="M663" s="76"/>
      <c r="N663" s="70"/>
      <c r="O663" s="78" t="s">
        <v>305</v>
      </c>
      <c r="P663" s="78" t="s">
        <v>515</v>
      </c>
      <c r="Q663" s="78" t="s">
        <v>1019</v>
      </c>
      <c r="R663" s="78" t="s">
        <v>1491</v>
      </c>
      <c r="S663" s="78"/>
      <c r="T663" s="78"/>
      <c r="U663" s="78"/>
      <c r="V663" s="78"/>
      <c r="W663" s="81" t="s">
        <v>1674</v>
      </c>
      <c r="X663" s="81" t="s">
        <v>1674</v>
      </c>
      <c r="Y663" s="78"/>
      <c r="Z663" s="78"/>
      <c r="AA663" s="81" t="s">
        <v>1674</v>
      </c>
      <c r="AB663" s="79">
        <v>21</v>
      </c>
      <c r="AC663" s="80" t="str">
        <f>REPLACE(INDEX(GroupVertices[Group],MATCH("~"&amp;Edges[[#This Row],[Vertex 1]],GroupVertices[Vertex],0)),1,1,"")</f>
        <v>6</v>
      </c>
      <c r="AD663" s="80" t="str">
        <f>REPLACE(INDEX(GroupVertices[Group],MATCH("~"&amp;Edges[[#This Row],[Vertex 2]],GroupVertices[Vertex],0)),1,1,"")</f>
        <v>2</v>
      </c>
      <c r="AE663" s="105"/>
      <c r="AF663" s="105"/>
      <c r="AG663" s="105"/>
      <c r="AH663" s="105"/>
      <c r="AI663" s="105"/>
      <c r="AJ663" s="105"/>
      <c r="AK663" s="105"/>
      <c r="AL663" s="105"/>
      <c r="AM663" s="105"/>
    </row>
    <row r="664" spans="1:39" ht="15">
      <c r="A664" s="62" t="s">
        <v>273</v>
      </c>
      <c r="B664" s="62" t="s">
        <v>294</v>
      </c>
      <c r="C664" s="63" t="s">
        <v>3609</v>
      </c>
      <c r="D664" s="64">
        <v>10</v>
      </c>
      <c r="E664" s="65" t="s">
        <v>136</v>
      </c>
      <c r="F664" s="66">
        <v>22.18867924528302</v>
      </c>
      <c r="G664" s="63"/>
      <c r="H664" s="67"/>
      <c r="I664" s="68"/>
      <c r="J664" s="68"/>
      <c r="K664" s="31" t="s">
        <v>65</v>
      </c>
      <c r="L664" s="76">
        <v>664</v>
      </c>
      <c r="M664" s="76"/>
      <c r="N664" s="70"/>
      <c r="O664" s="78" t="s">
        <v>305</v>
      </c>
      <c r="P664" s="78" t="s">
        <v>457</v>
      </c>
      <c r="Q664" s="78" t="s">
        <v>982</v>
      </c>
      <c r="R664" s="78" t="s">
        <v>1431</v>
      </c>
      <c r="S664" s="78"/>
      <c r="T664" s="78"/>
      <c r="U664" s="78"/>
      <c r="V664" s="78"/>
      <c r="W664" s="81" t="s">
        <v>1674</v>
      </c>
      <c r="X664" s="81" t="s">
        <v>1674</v>
      </c>
      <c r="Y664" s="78"/>
      <c r="Z664" s="78"/>
      <c r="AA664" s="81" t="s">
        <v>1674</v>
      </c>
      <c r="AB664" s="79">
        <v>21</v>
      </c>
      <c r="AC664" s="80" t="str">
        <f>REPLACE(INDEX(GroupVertices[Group],MATCH("~"&amp;Edges[[#This Row],[Vertex 1]],GroupVertices[Vertex],0)),1,1,"")</f>
        <v>6</v>
      </c>
      <c r="AD664" s="80" t="str">
        <f>REPLACE(INDEX(GroupVertices[Group],MATCH("~"&amp;Edges[[#This Row],[Vertex 2]],GroupVertices[Vertex],0)),1,1,"")</f>
        <v>2</v>
      </c>
      <c r="AE664" s="105"/>
      <c r="AF664" s="105"/>
      <c r="AG664" s="105"/>
      <c r="AH664" s="105"/>
      <c r="AI664" s="105"/>
      <c r="AJ664" s="105"/>
      <c r="AK664" s="105"/>
      <c r="AL664" s="105"/>
      <c r="AM664" s="105"/>
    </row>
    <row r="665" spans="1:39" ht="15">
      <c r="A665" s="62" t="s">
        <v>273</v>
      </c>
      <c r="B665" s="62" t="s">
        <v>303</v>
      </c>
      <c r="C665" s="63" t="s">
        <v>3598</v>
      </c>
      <c r="D665" s="64">
        <v>5.2631578947368425</v>
      </c>
      <c r="E665" s="65" t="s">
        <v>136</v>
      </c>
      <c r="F665" s="66">
        <v>31.50943396226415</v>
      </c>
      <c r="G665" s="63"/>
      <c r="H665" s="67"/>
      <c r="I665" s="68"/>
      <c r="J665" s="68"/>
      <c r="K665" s="31" t="s">
        <v>65</v>
      </c>
      <c r="L665" s="76">
        <v>665</v>
      </c>
      <c r="M665" s="76"/>
      <c r="N665" s="70"/>
      <c r="O665" s="78" t="s">
        <v>305</v>
      </c>
      <c r="P665" s="78" t="s">
        <v>516</v>
      </c>
      <c r="Q665" s="78" t="s">
        <v>1020</v>
      </c>
      <c r="R665" s="78" t="s">
        <v>1492</v>
      </c>
      <c r="S665" s="78"/>
      <c r="T665" s="78"/>
      <c r="U665" s="78"/>
      <c r="V665" s="78"/>
      <c r="W665" s="81" t="s">
        <v>1674</v>
      </c>
      <c r="X665" s="81" t="s">
        <v>1674</v>
      </c>
      <c r="Y665" s="78"/>
      <c r="Z665" s="78"/>
      <c r="AA665" s="81" t="s">
        <v>1674</v>
      </c>
      <c r="AB665" s="79">
        <v>2</v>
      </c>
      <c r="AC665" s="80" t="str">
        <f>REPLACE(INDEX(GroupVertices[Group],MATCH("~"&amp;Edges[[#This Row],[Vertex 1]],GroupVertices[Vertex],0)),1,1,"")</f>
        <v>6</v>
      </c>
      <c r="AD665" s="80" t="str">
        <f>REPLACE(INDEX(GroupVertices[Group],MATCH("~"&amp;Edges[[#This Row],[Vertex 2]],GroupVertices[Vertex],0)),1,1,"")</f>
        <v>3</v>
      </c>
      <c r="AE665" s="105"/>
      <c r="AF665" s="105"/>
      <c r="AG665" s="105"/>
      <c r="AH665" s="105"/>
      <c r="AI665" s="105"/>
      <c r="AJ665" s="105"/>
      <c r="AK665" s="105"/>
      <c r="AL665" s="105"/>
      <c r="AM665" s="105"/>
    </row>
    <row r="666" spans="1:39" ht="15">
      <c r="A666" s="62" t="s">
        <v>273</v>
      </c>
      <c r="B666" s="62" t="s">
        <v>303</v>
      </c>
      <c r="C666" s="63" t="s">
        <v>3598</v>
      </c>
      <c r="D666" s="64">
        <v>5.2631578947368425</v>
      </c>
      <c r="E666" s="65" t="s">
        <v>136</v>
      </c>
      <c r="F666" s="66">
        <v>31.50943396226415</v>
      </c>
      <c r="G666" s="63"/>
      <c r="H666" s="67"/>
      <c r="I666" s="68"/>
      <c r="J666" s="68"/>
      <c r="K666" s="31" t="s">
        <v>65</v>
      </c>
      <c r="L666" s="76">
        <v>666</v>
      </c>
      <c r="M666" s="76"/>
      <c r="N666" s="70"/>
      <c r="O666" s="78" t="s">
        <v>305</v>
      </c>
      <c r="P666" s="78" t="s">
        <v>516</v>
      </c>
      <c r="Q666" s="78" t="s">
        <v>1021</v>
      </c>
      <c r="R666" s="78" t="s">
        <v>1492</v>
      </c>
      <c r="S666" s="78"/>
      <c r="T666" s="78"/>
      <c r="U666" s="78"/>
      <c r="V666" s="78"/>
      <c r="W666" s="81" t="s">
        <v>1674</v>
      </c>
      <c r="X666" s="81" t="s">
        <v>1674</v>
      </c>
      <c r="Y666" s="78"/>
      <c r="Z666" s="78"/>
      <c r="AA666" s="81" t="s">
        <v>1674</v>
      </c>
      <c r="AB666" s="79">
        <v>2</v>
      </c>
      <c r="AC666" s="80" t="str">
        <f>REPLACE(INDEX(GroupVertices[Group],MATCH("~"&amp;Edges[[#This Row],[Vertex 1]],GroupVertices[Vertex],0)),1,1,"")</f>
        <v>6</v>
      </c>
      <c r="AD666" s="80" t="str">
        <f>REPLACE(INDEX(GroupVertices[Group],MATCH("~"&amp;Edges[[#This Row],[Vertex 2]],GroupVertices[Vertex],0)),1,1,"")</f>
        <v>3</v>
      </c>
      <c r="AE666" s="105"/>
      <c r="AF666" s="105"/>
      <c r="AG666" s="105"/>
      <c r="AH666" s="105"/>
      <c r="AI666" s="105"/>
      <c r="AJ666" s="105"/>
      <c r="AK666" s="105"/>
      <c r="AL666" s="105"/>
      <c r="AM666" s="105"/>
    </row>
    <row r="667" spans="1:39" ht="15">
      <c r="A667" s="62" t="s">
        <v>273</v>
      </c>
      <c r="B667" s="62" t="s">
        <v>251</v>
      </c>
      <c r="C667" s="63" t="s">
        <v>3598</v>
      </c>
      <c r="D667" s="64">
        <v>5</v>
      </c>
      <c r="E667" s="65" t="s">
        <v>132</v>
      </c>
      <c r="F667" s="66">
        <v>32</v>
      </c>
      <c r="G667" s="63"/>
      <c r="H667" s="67"/>
      <c r="I667" s="68"/>
      <c r="J667" s="68"/>
      <c r="K667" s="31" t="s">
        <v>65</v>
      </c>
      <c r="L667" s="76">
        <v>667</v>
      </c>
      <c r="M667" s="76"/>
      <c r="N667" s="70"/>
      <c r="O667" s="78" t="s">
        <v>305</v>
      </c>
      <c r="P667" s="78" t="s">
        <v>517</v>
      </c>
      <c r="Q667" s="78" t="s">
        <v>1022</v>
      </c>
      <c r="R667" s="78" t="s">
        <v>1493</v>
      </c>
      <c r="S667" s="78"/>
      <c r="T667" s="78"/>
      <c r="U667" s="78"/>
      <c r="V667" s="78"/>
      <c r="W667" s="81" t="s">
        <v>1674</v>
      </c>
      <c r="X667" s="81" t="s">
        <v>1674</v>
      </c>
      <c r="Y667" s="78"/>
      <c r="Z667" s="78"/>
      <c r="AA667" s="81" t="s">
        <v>1674</v>
      </c>
      <c r="AB667" s="79">
        <v>1</v>
      </c>
      <c r="AC667" s="80" t="str">
        <f>REPLACE(INDEX(GroupVertices[Group],MATCH("~"&amp;Edges[[#This Row],[Vertex 1]],GroupVertices[Vertex],0)),1,1,"")</f>
        <v>6</v>
      </c>
      <c r="AD667" s="80" t="str">
        <f>REPLACE(INDEX(GroupVertices[Group],MATCH("~"&amp;Edges[[#This Row],[Vertex 2]],GroupVertices[Vertex],0)),1,1,"")</f>
        <v>3</v>
      </c>
      <c r="AE667" s="105"/>
      <c r="AF667" s="105"/>
      <c r="AG667" s="105"/>
      <c r="AH667" s="105"/>
      <c r="AI667" s="105"/>
      <c r="AJ667" s="105"/>
      <c r="AK667" s="105"/>
      <c r="AL667" s="105"/>
      <c r="AM667" s="105"/>
    </row>
    <row r="668" spans="1:39" ht="15">
      <c r="A668" s="62" t="s">
        <v>273</v>
      </c>
      <c r="B668" s="62" t="s">
        <v>243</v>
      </c>
      <c r="C668" s="63" t="s">
        <v>3598</v>
      </c>
      <c r="D668" s="64">
        <v>5</v>
      </c>
      <c r="E668" s="65" t="s">
        <v>132</v>
      </c>
      <c r="F668" s="66">
        <v>32</v>
      </c>
      <c r="G668" s="63"/>
      <c r="H668" s="67"/>
      <c r="I668" s="68"/>
      <c r="J668" s="68"/>
      <c r="K668" s="31" t="s">
        <v>65</v>
      </c>
      <c r="L668" s="76">
        <v>668</v>
      </c>
      <c r="M668" s="76"/>
      <c r="N668" s="70"/>
      <c r="O668" s="78" t="s">
        <v>305</v>
      </c>
      <c r="P668" s="78" t="s">
        <v>518</v>
      </c>
      <c r="Q668" s="78" t="s">
        <v>1023</v>
      </c>
      <c r="R668" s="78" t="s">
        <v>1494</v>
      </c>
      <c r="S668" s="78"/>
      <c r="T668" s="78"/>
      <c r="U668" s="78"/>
      <c r="V668" s="78"/>
      <c r="W668" s="81" t="s">
        <v>1674</v>
      </c>
      <c r="X668" s="81" t="s">
        <v>1674</v>
      </c>
      <c r="Y668" s="78"/>
      <c r="Z668" s="78"/>
      <c r="AA668" s="81" t="s">
        <v>1674</v>
      </c>
      <c r="AB668" s="79">
        <v>1</v>
      </c>
      <c r="AC668" s="80" t="str">
        <f>REPLACE(INDEX(GroupVertices[Group],MATCH("~"&amp;Edges[[#This Row],[Vertex 1]],GroupVertices[Vertex],0)),1,1,"")</f>
        <v>6</v>
      </c>
      <c r="AD668" s="80" t="str">
        <f>REPLACE(INDEX(GroupVertices[Group],MATCH("~"&amp;Edges[[#This Row],[Vertex 2]],GroupVertices[Vertex],0)),1,1,"")</f>
        <v>5</v>
      </c>
      <c r="AE668" s="105"/>
      <c r="AF668" s="105"/>
      <c r="AG668" s="105"/>
      <c r="AH668" s="105"/>
      <c r="AI668" s="105"/>
      <c r="AJ668" s="105"/>
      <c r="AK668" s="105"/>
      <c r="AL668" s="105"/>
      <c r="AM668" s="105"/>
    </row>
    <row r="669" spans="1:39" ht="15">
      <c r="A669" s="62" t="s">
        <v>273</v>
      </c>
      <c r="B669" s="62" t="s">
        <v>253</v>
      </c>
      <c r="C669" s="63" t="s">
        <v>3598</v>
      </c>
      <c r="D669" s="64">
        <v>5</v>
      </c>
      <c r="E669" s="65" t="s">
        <v>132</v>
      </c>
      <c r="F669" s="66">
        <v>32</v>
      </c>
      <c r="G669" s="63"/>
      <c r="H669" s="67"/>
      <c r="I669" s="68"/>
      <c r="J669" s="68"/>
      <c r="K669" s="31" t="s">
        <v>65</v>
      </c>
      <c r="L669" s="76">
        <v>669</v>
      </c>
      <c r="M669" s="76"/>
      <c r="N669" s="70"/>
      <c r="O669" s="78" t="s">
        <v>305</v>
      </c>
      <c r="P669" s="78" t="s">
        <v>474</v>
      </c>
      <c r="Q669" s="78" t="s">
        <v>961</v>
      </c>
      <c r="R669" s="78" t="s">
        <v>1449</v>
      </c>
      <c r="S669" s="78"/>
      <c r="T669" s="78"/>
      <c r="U669" s="78"/>
      <c r="V669" s="78"/>
      <c r="W669" s="81" t="s">
        <v>1674</v>
      </c>
      <c r="X669" s="81" t="s">
        <v>1674</v>
      </c>
      <c r="Y669" s="78"/>
      <c r="Z669" s="78"/>
      <c r="AA669" s="81" t="s">
        <v>1674</v>
      </c>
      <c r="AB669" s="79">
        <v>1</v>
      </c>
      <c r="AC669" s="80" t="str">
        <f>REPLACE(INDEX(GroupVertices[Group],MATCH("~"&amp;Edges[[#This Row],[Vertex 1]],GroupVertices[Vertex],0)),1,1,"")</f>
        <v>6</v>
      </c>
      <c r="AD669" s="80" t="str">
        <f>REPLACE(INDEX(GroupVertices[Group],MATCH("~"&amp;Edges[[#This Row],[Vertex 2]],GroupVertices[Vertex],0)),1,1,"")</f>
        <v>1</v>
      </c>
      <c r="AE669" s="105"/>
      <c r="AF669" s="105"/>
      <c r="AG669" s="105"/>
      <c r="AH669" s="105"/>
      <c r="AI669" s="105"/>
      <c r="AJ669" s="105"/>
      <c r="AK669" s="105"/>
      <c r="AL669" s="105"/>
      <c r="AM669" s="105"/>
    </row>
    <row r="670" spans="1:39" ht="15">
      <c r="A670" s="62" t="s">
        <v>273</v>
      </c>
      <c r="B670" s="62" t="s">
        <v>235</v>
      </c>
      <c r="C670" s="63" t="s">
        <v>3598</v>
      </c>
      <c r="D670" s="64">
        <v>5.2631578947368425</v>
      </c>
      <c r="E670" s="65" t="s">
        <v>136</v>
      </c>
      <c r="F670" s="66">
        <v>31.50943396226415</v>
      </c>
      <c r="G670" s="63"/>
      <c r="H670" s="67"/>
      <c r="I670" s="68"/>
      <c r="J670" s="68"/>
      <c r="K670" s="31" t="s">
        <v>65</v>
      </c>
      <c r="L670" s="76">
        <v>670</v>
      </c>
      <c r="M670" s="76"/>
      <c r="N670" s="70"/>
      <c r="O670" s="78" t="s">
        <v>305</v>
      </c>
      <c r="P670" s="78" t="s">
        <v>436</v>
      </c>
      <c r="Q670" s="78" t="s">
        <v>882</v>
      </c>
      <c r="R670" s="78" t="s">
        <v>880</v>
      </c>
      <c r="S670" s="78"/>
      <c r="T670" s="78"/>
      <c r="U670" s="78"/>
      <c r="V670" s="78"/>
      <c r="W670" s="81" t="s">
        <v>1674</v>
      </c>
      <c r="X670" s="81" t="s">
        <v>1674</v>
      </c>
      <c r="Y670" s="78"/>
      <c r="Z670" s="78"/>
      <c r="AA670" s="81" t="s">
        <v>1674</v>
      </c>
      <c r="AB670" s="79">
        <v>2</v>
      </c>
      <c r="AC670" s="80" t="str">
        <f>REPLACE(INDEX(GroupVertices[Group],MATCH("~"&amp;Edges[[#This Row],[Vertex 1]],GroupVertices[Vertex],0)),1,1,"")</f>
        <v>6</v>
      </c>
      <c r="AD670" s="80" t="str">
        <f>REPLACE(INDEX(GroupVertices[Group],MATCH("~"&amp;Edges[[#This Row],[Vertex 2]],GroupVertices[Vertex],0)),1,1,"")</f>
        <v>1</v>
      </c>
      <c r="AE670" s="105"/>
      <c r="AF670" s="105"/>
      <c r="AG670" s="105"/>
      <c r="AH670" s="105"/>
      <c r="AI670" s="105"/>
      <c r="AJ670" s="105"/>
      <c r="AK670" s="105"/>
      <c r="AL670" s="105"/>
      <c r="AM670" s="105"/>
    </row>
    <row r="671" spans="1:39" ht="15">
      <c r="A671" s="62" t="s">
        <v>273</v>
      </c>
      <c r="B671" s="62" t="s">
        <v>235</v>
      </c>
      <c r="C671" s="63" t="s">
        <v>3598</v>
      </c>
      <c r="D671" s="64">
        <v>5.2631578947368425</v>
      </c>
      <c r="E671" s="65" t="s">
        <v>136</v>
      </c>
      <c r="F671" s="66">
        <v>31.50943396226415</v>
      </c>
      <c r="G671" s="63"/>
      <c r="H671" s="67"/>
      <c r="I671" s="68"/>
      <c r="J671" s="68"/>
      <c r="K671" s="31" t="s">
        <v>65</v>
      </c>
      <c r="L671" s="76">
        <v>671</v>
      </c>
      <c r="M671" s="76"/>
      <c r="N671" s="70"/>
      <c r="O671" s="78" t="s">
        <v>305</v>
      </c>
      <c r="P671" s="78" t="s">
        <v>436</v>
      </c>
      <c r="Q671" s="78" t="s">
        <v>883</v>
      </c>
      <c r="R671" s="78" t="s">
        <v>880</v>
      </c>
      <c r="S671" s="78"/>
      <c r="T671" s="78"/>
      <c r="U671" s="78"/>
      <c r="V671" s="78"/>
      <c r="W671" s="81" t="s">
        <v>1674</v>
      </c>
      <c r="X671" s="81" t="s">
        <v>1674</v>
      </c>
      <c r="Y671" s="78"/>
      <c r="Z671" s="78"/>
      <c r="AA671" s="81" t="s">
        <v>1674</v>
      </c>
      <c r="AB671" s="79">
        <v>2</v>
      </c>
      <c r="AC671" s="80" t="str">
        <f>REPLACE(INDEX(GroupVertices[Group],MATCH("~"&amp;Edges[[#This Row],[Vertex 1]],GroupVertices[Vertex],0)),1,1,"")</f>
        <v>6</v>
      </c>
      <c r="AD671" s="80" t="str">
        <f>REPLACE(INDEX(GroupVertices[Group],MATCH("~"&amp;Edges[[#This Row],[Vertex 2]],GroupVertices[Vertex],0)),1,1,"")</f>
        <v>1</v>
      </c>
      <c r="AE671" s="105"/>
      <c r="AF671" s="105"/>
      <c r="AG671" s="105"/>
      <c r="AH671" s="105"/>
      <c r="AI671" s="105"/>
      <c r="AJ671" s="105"/>
      <c r="AK671" s="105"/>
      <c r="AL671" s="105"/>
      <c r="AM671" s="105"/>
    </row>
    <row r="672" spans="1:39" ht="15">
      <c r="A672" s="62" t="s">
        <v>283</v>
      </c>
      <c r="B672" s="62" t="s">
        <v>273</v>
      </c>
      <c r="C672" s="63" t="s">
        <v>3598</v>
      </c>
      <c r="D672" s="64">
        <v>5</v>
      </c>
      <c r="E672" s="65" t="s">
        <v>132</v>
      </c>
      <c r="F672" s="66">
        <v>32</v>
      </c>
      <c r="G672" s="63"/>
      <c r="H672" s="67"/>
      <c r="I672" s="68"/>
      <c r="J672" s="68"/>
      <c r="K672" s="31" t="s">
        <v>65</v>
      </c>
      <c r="L672" s="76">
        <v>672</v>
      </c>
      <c r="M672" s="76"/>
      <c r="N672" s="70"/>
      <c r="O672" s="78" t="s">
        <v>305</v>
      </c>
      <c r="P672" s="78" t="s">
        <v>519</v>
      </c>
      <c r="Q672" s="78" t="s">
        <v>1024</v>
      </c>
      <c r="R672" s="78" t="s">
        <v>1495</v>
      </c>
      <c r="S672" s="78"/>
      <c r="T672" s="78"/>
      <c r="U672" s="78"/>
      <c r="V672" s="78"/>
      <c r="W672" s="81" t="s">
        <v>1674</v>
      </c>
      <c r="X672" s="81" t="s">
        <v>1674</v>
      </c>
      <c r="Y672" s="78"/>
      <c r="Z672" s="78"/>
      <c r="AA672" s="81" t="s">
        <v>1674</v>
      </c>
      <c r="AB672" s="79">
        <v>1</v>
      </c>
      <c r="AC672" s="80" t="str">
        <f>REPLACE(INDEX(GroupVertices[Group],MATCH("~"&amp;Edges[[#This Row],[Vertex 1]],GroupVertices[Vertex],0)),1,1,"")</f>
        <v>6</v>
      </c>
      <c r="AD672" s="80" t="str">
        <f>REPLACE(INDEX(GroupVertices[Group],MATCH("~"&amp;Edges[[#This Row],[Vertex 2]],GroupVertices[Vertex],0)),1,1,"")</f>
        <v>6</v>
      </c>
      <c r="AE672" s="105"/>
      <c r="AF672" s="105"/>
      <c r="AG672" s="105"/>
      <c r="AH672" s="105"/>
      <c r="AI672" s="105"/>
      <c r="AJ672" s="105"/>
      <c r="AK672" s="105"/>
      <c r="AL672" s="105"/>
      <c r="AM672" s="105"/>
    </row>
    <row r="673" spans="1:39" ht="15">
      <c r="A673" s="62" t="s">
        <v>284</v>
      </c>
      <c r="B673" s="62" t="s">
        <v>273</v>
      </c>
      <c r="C673" s="63" t="s">
        <v>3598</v>
      </c>
      <c r="D673" s="64">
        <v>5.2631578947368425</v>
      </c>
      <c r="E673" s="65" t="s">
        <v>136</v>
      </c>
      <c r="F673" s="66">
        <v>31.50943396226415</v>
      </c>
      <c r="G673" s="63"/>
      <c r="H673" s="67"/>
      <c r="I673" s="68"/>
      <c r="J673" s="68"/>
      <c r="K673" s="31" t="s">
        <v>65</v>
      </c>
      <c r="L673" s="76">
        <v>673</v>
      </c>
      <c r="M673" s="76"/>
      <c r="N673" s="70"/>
      <c r="O673" s="78" t="s">
        <v>305</v>
      </c>
      <c r="P673" s="78" t="s">
        <v>520</v>
      </c>
      <c r="Q673" s="78" t="s">
        <v>1025</v>
      </c>
      <c r="R673" s="78" t="s">
        <v>1496</v>
      </c>
      <c r="S673" s="78"/>
      <c r="T673" s="78"/>
      <c r="U673" s="78"/>
      <c r="V673" s="78"/>
      <c r="W673" s="81" t="s">
        <v>1674</v>
      </c>
      <c r="X673" s="81" t="s">
        <v>1674</v>
      </c>
      <c r="Y673" s="78"/>
      <c r="Z673" s="78"/>
      <c r="AA673" s="81" t="s">
        <v>1674</v>
      </c>
      <c r="AB673" s="79">
        <v>2</v>
      </c>
      <c r="AC673" s="80" t="str">
        <f>REPLACE(INDEX(GroupVertices[Group],MATCH("~"&amp;Edges[[#This Row],[Vertex 1]],GroupVertices[Vertex],0)),1,1,"")</f>
        <v>1</v>
      </c>
      <c r="AD673" s="80" t="str">
        <f>REPLACE(INDEX(GroupVertices[Group],MATCH("~"&amp;Edges[[#This Row],[Vertex 2]],GroupVertices[Vertex],0)),1,1,"")</f>
        <v>6</v>
      </c>
      <c r="AE673" s="105"/>
      <c r="AF673" s="105"/>
      <c r="AG673" s="105"/>
      <c r="AH673" s="105"/>
      <c r="AI673" s="105"/>
      <c r="AJ673" s="105"/>
      <c r="AK673" s="105"/>
      <c r="AL673" s="105"/>
      <c r="AM673" s="105"/>
    </row>
    <row r="674" spans="1:39" ht="15">
      <c r="A674" s="62" t="s">
        <v>284</v>
      </c>
      <c r="B674" s="62" t="s">
        <v>273</v>
      </c>
      <c r="C674" s="63" t="s">
        <v>3598</v>
      </c>
      <c r="D674" s="64">
        <v>5.2631578947368425</v>
      </c>
      <c r="E674" s="65" t="s">
        <v>136</v>
      </c>
      <c r="F674" s="66">
        <v>31.50943396226415</v>
      </c>
      <c r="G674" s="63"/>
      <c r="H674" s="67"/>
      <c r="I674" s="68"/>
      <c r="J674" s="68"/>
      <c r="K674" s="31" t="s">
        <v>65</v>
      </c>
      <c r="L674" s="76">
        <v>674</v>
      </c>
      <c r="M674" s="76"/>
      <c r="N674" s="70"/>
      <c r="O674" s="78" t="s">
        <v>305</v>
      </c>
      <c r="P674" s="78" t="s">
        <v>521</v>
      </c>
      <c r="Q674" s="78" t="s">
        <v>1026</v>
      </c>
      <c r="R674" s="78" t="s">
        <v>1497</v>
      </c>
      <c r="S674" s="78"/>
      <c r="T674" s="78"/>
      <c r="U674" s="78"/>
      <c r="V674" s="78"/>
      <c r="W674" s="81" t="s">
        <v>1674</v>
      </c>
      <c r="X674" s="81" t="s">
        <v>1674</v>
      </c>
      <c r="Y674" s="78"/>
      <c r="Z674" s="78"/>
      <c r="AA674" s="81" t="s">
        <v>1674</v>
      </c>
      <c r="AB674" s="79">
        <v>2</v>
      </c>
      <c r="AC674" s="80" t="str">
        <f>REPLACE(INDEX(GroupVertices[Group],MATCH("~"&amp;Edges[[#This Row],[Vertex 1]],GroupVertices[Vertex],0)),1,1,"")</f>
        <v>1</v>
      </c>
      <c r="AD674" s="80" t="str">
        <f>REPLACE(INDEX(GroupVertices[Group],MATCH("~"&amp;Edges[[#This Row],[Vertex 2]],GroupVertices[Vertex],0)),1,1,"")</f>
        <v>6</v>
      </c>
      <c r="AE674" s="105"/>
      <c r="AF674" s="105"/>
      <c r="AG674" s="105"/>
      <c r="AH674" s="105"/>
      <c r="AI674" s="105"/>
      <c r="AJ674" s="105"/>
      <c r="AK674" s="105"/>
      <c r="AL674" s="105"/>
      <c r="AM674" s="105"/>
    </row>
    <row r="675" spans="1:39" ht="15">
      <c r="A675" s="62" t="s">
        <v>284</v>
      </c>
      <c r="B675" s="62" t="s">
        <v>283</v>
      </c>
      <c r="C675" s="63" t="s">
        <v>3598</v>
      </c>
      <c r="D675" s="64">
        <v>5</v>
      </c>
      <c r="E675" s="65" t="s">
        <v>132</v>
      </c>
      <c r="F675" s="66">
        <v>32</v>
      </c>
      <c r="G675" s="63"/>
      <c r="H675" s="67"/>
      <c r="I675" s="68"/>
      <c r="J675" s="68"/>
      <c r="K675" s="31" t="s">
        <v>65</v>
      </c>
      <c r="L675" s="76">
        <v>675</v>
      </c>
      <c r="M675" s="76"/>
      <c r="N675" s="70"/>
      <c r="O675" s="78" t="s">
        <v>305</v>
      </c>
      <c r="P675" s="78" t="s">
        <v>493</v>
      </c>
      <c r="Q675" s="78" t="s">
        <v>985</v>
      </c>
      <c r="R675" s="78" t="s">
        <v>984</v>
      </c>
      <c r="S675" s="78"/>
      <c r="T675" s="78"/>
      <c r="U675" s="78"/>
      <c r="V675" s="78"/>
      <c r="W675" s="81" t="s">
        <v>1674</v>
      </c>
      <c r="X675" s="81" t="s">
        <v>1674</v>
      </c>
      <c r="Y675" s="78"/>
      <c r="Z675" s="78"/>
      <c r="AA675" s="81" t="s">
        <v>1674</v>
      </c>
      <c r="AB675" s="79">
        <v>1</v>
      </c>
      <c r="AC675" s="80" t="str">
        <f>REPLACE(INDEX(GroupVertices[Group],MATCH("~"&amp;Edges[[#This Row],[Vertex 1]],GroupVertices[Vertex],0)),1,1,"")</f>
        <v>1</v>
      </c>
      <c r="AD675" s="80" t="str">
        <f>REPLACE(INDEX(GroupVertices[Group],MATCH("~"&amp;Edges[[#This Row],[Vertex 2]],GroupVertices[Vertex],0)),1,1,"")</f>
        <v>6</v>
      </c>
      <c r="AE675" s="105"/>
      <c r="AF675" s="105"/>
      <c r="AG675" s="105"/>
      <c r="AH675" s="105"/>
      <c r="AI675" s="105"/>
      <c r="AJ675" s="105"/>
      <c r="AK675" s="105"/>
      <c r="AL675" s="105"/>
      <c r="AM675" s="105"/>
    </row>
    <row r="676" spans="1:39" ht="15">
      <c r="A676" s="62" t="s">
        <v>241</v>
      </c>
      <c r="B676" s="62" t="s">
        <v>294</v>
      </c>
      <c r="C676" s="63" t="s">
        <v>3597</v>
      </c>
      <c r="D676" s="64">
        <v>6.578947368421053</v>
      </c>
      <c r="E676" s="65" t="s">
        <v>136</v>
      </c>
      <c r="F676" s="66">
        <v>29.056603773584907</v>
      </c>
      <c r="G676" s="63"/>
      <c r="H676" s="67"/>
      <c r="I676" s="68"/>
      <c r="J676" s="68"/>
      <c r="K676" s="31" t="s">
        <v>65</v>
      </c>
      <c r="L676" s="76">
        <v>676</v>
      </c>
      <c r="M676" s="76"/>
      <c r="N676" s="70"/>
      <c r="O676" s="78" t="s">
        <v>305</v>
      </c>
      <c r="P676" s="78" t="s">
        <v>522</v>
      </c>
      <c r="Q676" s="78" t="s">
        <v>1027</v>
      </c>
      <c r="R676" s="78" t="s">
        <v>1498</v>
      </c>
      <c r="S676" s="78"/>
      <c r="T676" s="78"/>
      <c r="U676" s="78"/>
      <c r="V676" s="78"/>
      <c r="W676" s="81" t="s">
        <v>1674</v>
      </c>
      <c r="X676" s="81" t="s">
        <v>1674</v>
      </c>
      <c r="Y676" s="78"/>
      <c r="Z676" s="78"/>
      <c r="AA676" s="81" t="s">
        <v>1674</v>
      </c>
      <c r="AB676" s="79">
        <v>7</v>
      </c>
      <c r="AC676" s="80" t="str">
        <f>REPLACE(INDEX(GroupVertices[Group],MATCH("~"&amp;Edges[[#This Row],[Vertex 1]],GroupVertices[Vertex],0)),1,1,"")</f>
        <v>2</v>
      </c>
      <c r="AD676" s="80" t="str">
        <f>REPLACE(INDEX(GroupVertices[Group],MATCH("~"&amp;Edges[[#This Row],[Vertex 2]],GroupVertices[Vertex],0)),1,1,"")</f>
        <v>2</v>
      </c>
      <c r="AE676" s="105"/>
      <c r="AF676" s="105"/>
      <c r="AG676" s="105"/>
      <c r="AH676" s="105"/>
      <c r="AI676" s="105"/>
      <c r="AJ676" s="105"/>
      <c r="AK676" s="105"/>
      <c r="AL676" s="105"/>
      <c r="AM676" s="105"/>
    </row>
    <row r="677" spans="1:39" ht="15">
      <c r="A677" s="62" t="s">
        <v>241</v>
      </c>
      <c r="B677" s="62" t="s">
        <v>294</v>
      </c>
      <c r="C677" s="63" t="s">
        <v>3597</v>
      </c>
      <c r="D677" s="64">
        <v>6.578947368421053</v>
      </c>
      <c r="E677" s="65" t="s">
        <v>136</v>
      </c>
      <c r="F677" s="66">
        <v>29.056603773584907</v>
      </c>
      <c r="G677" s="63"/>
      <c r="H677" s="67"/>
      <c r="I677" s="68"/>
      <c r="J677" s="68"/>
      <c r="K677" s="31" t="s">
        <v>65</v>
      </c>
      <c r="L677" s="76">
        <v>677</v>
      </c>
      <c r="M677" s="76"/>
      <c r="N677" s="70"/>
      <c r="O677" s="78" t="s">
        <v>305</v>
      </c>
      <c r="P677" s="78" t="s">
        <v>522</v>
      </c>
      <c r="Q677" s="78" t="s">
        <v>1028</v>
      </c>
      <c r="R677" s="78" t="s">
        <v>1498</v>
      </c>
      <c r="S677" s="78"/>
      <c r="T677" s="78"/>
      <c r="U677" s="78"/>
      <c r="V677" s="78"/>
      <c r="W677" s="81" t="s">
        <v>1674</v>
      </c>
      <c r="X677" s="81" t="s">
        <v>1674</v>
      </c>
      <c r="Y677" s="78"/>
      <c r="Z677" s="78"/>
      <c r="AA677" s="81" t="s">
        <v>1674</v>
      </c>
      <c r="AB677" s="79">
        <v>7</v>
      </c>
      <c r="AC677" s="80" t="str">
        <f>REPLACE(INDEX(GroupVertices[Group],MATCH("~"&amp;Edges[[#This Row],[Vertex 1]],GroupVertices[Vertex],0)),1,1,"")</f>
        <v>2</v>
      </c>
      <c r="AD677" s="80" t="str">
        <f>REPLACE(INDEX(GroupVertices[Group],MATCH("~"&amp;Edges[[#This Row],[Vertex 2]],GroupVertices[Vertex],0)),1,1,"")</f>
        <v>2</v>
      </c>
      <c r="AE677" s="105"/>
      <c r="AF677" s="105"/>
      <c r="AG677" s="105"/>
      <c r="AH677" s="105"/>
      <c r="AI677" s="105"/>
      <c r="AJ677" s="105"/>
      <c r="AK677" s="105"/>
      <c r="AL677" s="105"/>
      <c r="AM677" s="105"/>
    </row>
    <row r="678" spans="1:39" ht="15">
      <c r="A678" s="62" t="s">
        <v>241</v>
      </c>
      <c r="B678" s="62" t="s">
        <v>294</v>
      </c>
      <c r="C678" s="63" t="s">
        <v>3597</v>
      </c>
      <c r="D678" s="64">
        <v>6.578947368421053</v>
      </c>
      <c r="E678" s="65" t="s">
        <v>136</v>
      </c>
      <c r="F678" s="66">
        <v>29.056603773584907</v>
      </c>
      <c r="G678" s="63"/>
      <c r="H678" s="67"/>
      <c r="I678" s="68"/>
      <c r="J678" s="68"/>
      <c r="K678" s="31" t="s">
        <v>65</v>
      </c>
      <c r="L678" s="76">
        <v>678</v>
      </c>
      <c r="M678" s="76"/>
      <c r="N678" s="70"/>
      <c r="O678" s="78" t="s">
        <v>305</v>
      </c>
      <c r="P678" s="78" t="s">
        <v>522</v>
      </c>
      <c r="Q678" s="78" t="s">
        <v>1029</v>
      </c>
      <c r="R678" s="78" t="s">
        <v>1498</v>
      </c>
      <c r="S678" s="78"/>
      <c r="T678" s="78"/>
      <c r="U678" s="78"/>
      <c r="V678" s="78"/>
      <c r="W678" s="81" t="s">
        <v>1674</v>
      </c>
      <c r="X678" s="81" t="s">
        <v>1674</v>
      </c>
      <c r="Y678" s="78"/>
      <c r="Z678" s="78"/>
      <c r="AA678" s="81" t="s">
        <v>1674</v>
      </c>
      <c r="AB678" s="79">
        <v>7</v>
      </c>
      <c r="AC678" s="80" t="str">
        <f>REPLACE(INDEX(GroupVertices[Group],MATCH("~"&amp;Edges[[#This Row],[Vertex 1]],GroupVertices[Vertex],0)),1,1,"")</f>
        <v>2</v>
      </c>
      <c r="AD678" s="80" t="str">
        <f>REPLACE(INDEX(GroupVertices[Group],MATCH("~"&amp;Edges[[#This Row],[Vertex 2]],GroupVertices[Vertex],0)),1,1,"")</f>
        <v>2</v>
      </c>
      <c r="AE678" s="105"/>
      <c r="AF678" s="105"/>
      <c r="AG678" s="105"/>
      <c r="AH678" s="105"/>
      <c r="AI678" s="105"/>
      <c r="AJ678" s="105"/>
      <c r="AK678" s="105"/>
      <c r="AL678" s="105"/>
      <c r="AM678" s="105"/>
    </row>
    <row r="679" spans="1:39" ht="15">
      <c r="A679" s="62" t="s">
        <v>241</v>
      </c>
      <c r="B679" s="62" t="s">
        <v>294</v>
      </c>
      <c r="C679" s="63" t="s">
        <v>3597</v>
      </c>
      <c r="D679" s="64">
        <v>6.578947368421053</v>
      </c>
      <c r="E679" s="65" t="s">
        <v>136</v>
      </c>
      <c r="F679" s="66">
        <v>29.056603773584907</v>
      </c>
      <c r="G679" s="63"/>
      <c r="H679" s="67"/>
      <c r="I679" s="68"/>
      <c r="J679" s="68"/>
      <c r="K679" s="31" t="s">
        <v>65</v>
      </c>
      <c r="L679" s="76">
        <v>679</v>
      </c>
      <c r="M679" s="76"/>
      <c r="N679" s="70"/>
      <c r="O679" s="78" t="s">
        <v>305</v>
      </c>
      <c r="P679" s="78" t="s">
        <v>522</v>
      </c>
      <c r="Q679" s="78" t="s">
        <v>1030</v>
      </c>
      <c r="R679" s="78" t="s">
        <v>1498</v>
      </c>
      <c r="S679" s="78"/>
      <c r="T679" s="78"/>
      <c r="U679" s="78"/>
      <c r="V679" s="78"/>
      <c r="W679" s="81" t="s">
        <v>1674</v>
      </c>
      <c r="X679" s="81" t="s">
        <v>1674</v>
      </c>
      <c r="Y679" s="78"/>
      <c r="Z679" s="78"/>
      <c r="AA679" s="81" t="s">
        <v>1674</v>
      </c>
      <c r="AB679" s="79">
        <v>7</v>
      </c>
      <c r="AC679" s="80" t="str">
        <f>REPLACE(INDEX(GroupVertices[Group],MATCH("~"&amp;Edges[[#This Row],[Vertex 1]],GroupVertices[Vertex],0)),1,1,"")</f>
        <v>2</v>
      </c>
      <c r="AD679" s="80" t="str">
        <f>REPLACE(INDEX(GroupVertices[Group],MATCH("~"&amp;Edges[[#This Row],[Vertex 2]],GroupVertices[Vertex],0)),1,1,"")</f>
        <v>2</v>
      </c>
      <c r="AE679" s="105"/>
      <c r="AF679" s="105"/>
      <c r="AG679" s="105"/>
      <c r="AH679" s="105"/>
      <c r="AI679" s="105"/>
      <c r="AJ679" s="105"/>
      <c r="AK679" s="105"/>
      <c r="AL679" s="105"/>
      <c r="AM679" s="105"/>
    </row>
    <row r="680" spans="1:39" ht="15">
      <c r="A680" s="62" t="s">
        <v>241</v>
      </c>
      <c r="B680" s="62" t="s">
        <v>294</v>
      </c>
      <c r="C680" s="63" t="s">
        <v>3597</v>
      </c>
      <c r="D680" s="64">
        <v>6.578947368421053</v>
      </c>
      <c r="E680" s="65" t="s">
        <v>136</v>
      </c>
      <c r="F680" s="66">
        <v>29.056603773584907</v>
      </c>
      <c r="G680" s="63"/>
      <c r="H680" s="67"/>
      <c r="I680" s="68"/>
      <c r="J680" s="68"/>
      <c r="K680" s="31" t="s">
        <v>65</v>
      </c>
      <c r="L680" s="76">
        <v>680</v>
      </c>
      <c r="M680" s="76"/>
      <c r="N680" s="70"/>
      <c r="O680" s="78" t="s">
        <v>305</v>
      </c>
      <c r="P680" s="78" t="s">
        <v>523</v>
      </c>
      <c r="Q680" s="78" t="s">
        <v>1031</v>
      </c>
      <c r="R680" s="78" t="s">
        <v>1499</v>
      </c>
      <c r="S680" s="78"/>
      <c r="T680" s="78"/>
      <c r="U680" s="78"/>
      <c r="V680" s="78"/>
      <c r="W680" s="81" t="s">
        <v>1674</v>
      </c>
      <c r="X680" s="81" t="s">
        <v>1674</v>
      </c>
      <c r="Y680" s="78"/>
      <c r="Z680" s="78"/>
      <c r="AA680" s="81" t="s">
        <v>1674</v>
      </c>
      <c r="AB680" s="79">
        <v>7</v>
      </c>
      <c r="AC680" s="80" t="str">
        <f>REPLACE(INDEX(GroupVertices[Group],MATCH("~"&amp;Edges[[#This Row],[Vertex 1]],GroupVertices[Vertex],0)),1,1,"")</f>
        <v>2</v>
      </c>
      <c r="AD680" s="80" t="str">
        <f>REPLACE(INDEX(GroupVertices[Group],MATCH("~"&amp;Edges[[#This Row],[Vertex 2]],GroupVertices[Vertex],0)),1,1,"")</f>
        <v>2</v>
      </c>
      <c r="AE680" s="105"/>
      <c r="AF680" s="105"/>
      <c r="AG680" s="105"/>
      <c r="AH680" s="105"/>
      <c r="AI680" s="105"/>
      <c r="AJ680" s="105"/>
      <c r="AK680" s="105"/>
      <c r="AL680" s="105"/>
      <c r="AM680" s="105"/>
    </row>
    <row r="681" spans="1:39" ht="15">
      <c r="A681" s="62" t="s">
        <v>241</v>
      </c>
      <c r="B681" s="62" t="s">
        <v>294</v>
      </c>
      <c r="C681" s="63" t="s">
        <v>3597</v>
      </c>
      <c r="D681" s="64">
        <v>6.578947368421053</v>
      </c>
      <c r="E681" s="65" t="s">
        <v>136</v>
      </c>
      <c r="F681" s="66">
        <v>29.056603773584907</v>
      </c>
      <c r="G681" s="63"/>
      <c r="H681" s="67"/>
      <c r="I681" s="68"/>
      <c r="J681" s="68"/>
      <c r="K681" s="31" t="s">
        <v>65</v>
      </c>
      <c r="L681" s="76">
        <v>681</v>
      </c>
      <c r="M681" s="76"/>
      <c r="N681" s="70"/>
      <c r="O681" s="78" t="s">
        <v>305</v>
      </c>
      <c r="P681" s="78" t="s">
        <v>524</v>
      </c>
      <c r="Q681" s="78" t="s">
        <v>1032</v>
      </c>
      <c r="R681" s="78" t="s">
        <v>1500</v>
      </c>
      <c r="S681" s="78"/>
      <c r="T681" s="78"/>
      <c r="U681" s="78"/>
      <c r="V681" s="78"/>
      <c r="W681" s="81" t="s">
        <v>1674</v>
      </c>
      <c r="X681" s="81" t="s">
        <v>1674</v>
      </c>
      <c r="Y681" s="78"/>
      <c r="Z681" s="78"/>
      <c r="AA681" s="81" t="s">
        <v>1674</v>
      </c>
      <c r="AB681" s="79">
        <v>7</v>
      </c>
      <c r="AC681" s="80" t="str">
        <f>REPLACE(INDEX(GroupVertices[Group],MATCH("~"&amp;Edges[[#This Row],[Vertex 1]],GroupVertices[Vertex],0)),1,1,"")</f>
        <v>2</v>
      </c>
      <c r="AD681" s="80" t="str">
        <f>REPLACE(INDEX(GroupVertices[Group],MATCH("~"&amp;Edges[[#This Row],[Vertex 2]],GroupVertices[Vertex],0)),1,1,"")</f>
        <v>2</v>
      </c>
      <c r="AE681" s="105"/>
      <c r="AF681" s="105"/>
      <c r="AG681" s="105"/>
      <c r="AH681" s="105"/>
      <c r="AI681" s="105"/>
      <c r="AJ681" s="105"/>
      <c r="AK681" s="105"/>
      <c r="AL681" s="105"/>
      <c r="AM681" s="105"/>
    </row>
    <row r="682" spans="1:39" ht="15">
      <c r="A682" s="62" t="s">
        <v>241</v>
      </c>
      <c r="B682" s="62" t="s">
        <v>294</v>
      </c>
      <c r="C682" s="63" t="s">
        <v>3597</v>
      </c>
      <c r="D682" s="64">
        <v>6.578947368421053</v>
      </c>
      <c r="E682" s="65" t="s">
        <v>136</v>
      </c>
      <c r="F682" s="66">
        <v>29.056603773584907</v>
      </c>
      <c r="G682" s="63"/>
      <c r="H682" s="67"/>
      <c r="I682" s="68"/>
      <c r="J682" s="68"/>
      <c r="K682" s="31" t="s">
        <v>65</v>
      </c>
      <c r="L682" s="76">
        <v>682</v>
      </c>
      <c r="M682" s="76"/>
      <c r="N682" s="70"/>
      <c r="O682" s="78" t="s">
        <v>305</v>
      </c>
      <c r="P682" s="78" t="s">
        <v>434</v>
      </c>
      <c r="Q682" s="78" t="s">
        <v>877</v>
      </c>
      <c r="R682" s="78" t="s">
        <v>1406</v>
      </c>
      <c r="S682" s="78"/>
      <c r="T682" s="78"/>
      <c r="U682" s="78"/>
      <c r="V682" s="78"/>
      <c r="W682" s="81" t="s">
        <v>1674</v>
      </c>
      <c r="X682" s="81" t="s">
        <v>1674</v>
      </c>
      <c r="Y682" s="78"/>
      <c r="Z682" s="78"/>
      <c r="AA682" s="81" t="s">
        <v>1674</v>
      </c>
      <c r="AB682" s="79">
        <v>7</v>
      </c>
      <c r="AC682" s="80" t="str">
        <f>REPLACE(INDEX(GroupVertices[Group],MATCH("~"&amp;Edges[[#This Row],[Vertex 1]],GroupVertices[Vertex],0)),1,1,"")</f>
        <v>2</v>
      </c>
      <c r="AD682" s="80" t="str">
        <f>REPLACE(INDEX(GroupVertices[Group],MATCH("~"&amp;Edges[[#This Row],[Vertex 2]],GroupVertices[Vertex],0)),1,1,"")</f>
        <v>2</v>
      </c>
      <c r="AE682" s="105"/>
      <c r="AF682" s="105"/>
      <c r="AG682" s="105"/>
      <c r="AH682" s="105"/>
      <c r="AI682" s="105"/>
      <c r="AJ682" s="105"/>
      <c r="AK682" s="105"/>
      <c r="AL682" s="105"/>
      <c r="AM682" s="105"/>
    </row>
    <row r="683" spans="1:39" ht="15">
      <c r="A683" s="62" t="s">
        <v>241</v>
      </c>
      <c r="B683" s="62" t="s">
        <v>249</v>
      </c>
      <c r="C683" s="63" t="s">
        <v>3610</v>
      </c>
      <c r="D683" s="64">
        <v>10</v>
      </c>
      <c r="E683" s="65" t="s">
        <v>136</v>
      </c>
      <c r="F683" s="66">
        <v>6</v>
      </c>
      <c r="G683" s="63"/>
      <c r="H683" s="67"/>
      <c r="I683" s="68"/>
      <c r="J683" s="68"/>
      <c r="K683" s="31" t="s">
        <v>65</v>
      </c>
      <c r="L683" s="76">
        <v>683</v>
      </c>
      <c r="M683" s="76"/>
      <c r="N683" s="70"/>
      <c r="O683" s="78" t="s">
        <v>305</v>
      </c>
      <c r="P683" s="78" t="s">
        <v>525</v>
      </c>
      <c r="Q683" s="78" t="s">
        <v>1033</v>
      </c>
      <c r="R683" s="78" t="s">
        <v>1501</v>
      </c>
      <c r="S683" s="78"/>
      <c r="T683" s="78"/>
      <c r="U683" s="78"/>
      <c r="V683" s="78"/>
      <c r="W683" s="81" t="s">
        <v>1674</v>
      </c>
      <c r="X683" s="81" t="s">
        <v>1674</v>
      </c>
      <c r="Y683" s="78"/>
      <c r="Z683" s="78"/>
      <c r="AA683" s="81" t="s">
        <v>1674</v>
      </c>
      <c r="AB683" s="79">
        <v>54</v>
      </c>
      <c r="AC683" s="80" t="str">
        <f>REPLACE(INDEX(GroupVertices[Group],MATCH("~"&amp;Edges[[#This Row],[Vertex 1]],GroupVertices[Vertex],0)),1,1,"")</f>
        <v>2</v>
      </c>
      <c r="AD683" s="80" t="str">
        <f>REPLACE(INDEX(GroupVertices[Group],MATCH("~"&amp;Edges[[#This Row],[Vertex 2]],GroupVertices[Vertex],0)),1,1,"")</f>
        <v>2</v>
      </c>
      <c r="AE683" s="105"/>
      <c r="AF683" s="105"/>
      <c r="AG683" s="105"/>
      <c r="AH683" s="105"/>
      <c r="AI683" s="105"/>
      <c r="AJ683" s="105"/>
      <c r="AK683" s="105"/>
      <c r="AL683" s="105"/>
      <c r="AM683" s="105"/>
    </row>
    <row r="684" spans="1:39" ht="15">
      <c r="A684" s="62" t="s">
        <v>241</v>
      </c>
      <c r="B684" s="62" t="s">
        <v>249</v>
      </c>
      <c r="C684" s="63" t="s">
        <v>3610</v>
      </c>
      <c r="D684" s="64">
        <v>10</v>
      </c>
      <c r="E684" s="65" t="s">
        <v>136</v>
      </c>
      <c r="F684" s="66">
        <v>6</v>
      </c>
      <c r="G684" s="63"/>
      <c r="H684" s="67"/>
      <c r="I684" s="68"/>
      <c r="J684" s="68"/>
      <c r="K684" s="31" t="s">
        <v>65</v>
      </c>
      <c r="L684" s="76">
        <v>684</v>
      </c>
      <c r="M684" s="76"/>
      <c r="N684" s="70"/>
      <c r="O684" s="78" t="s">
        <v>305</v>
      </c>
      <c r="P684" s="78" t="s">
        <v>525</v>
      </c>
      <c r="Q684" s="78" t="s">
        <v>1033</v>
      </c>
      <c r="R684" s="78" t="s">
        <v>1502</v>
      </c>
      <c r="S684" s="78"/>
      <c r="T684" s="78"/>
      <c r="U684" s="78"/>
      <c r="V684" s="78"/>
      <c r="W684" s="81" t="s">
        <v>1674</v>
      </c>
      <c r="X684" s="81" t="s">
        <v>1674</v>
      </c>
      <c r="Y684" s="78"/>
      <c r="Z684" s="78"/>
      <c r="AA684" s="81" t="s">
        <v>1674</v>
      </c>
      <c r="AB684" s="79">
        <v>54</v>
      </c>
      <c r="AC684" s="80" t="str">
        <f>REPLACE(INDEX(GroupVertices[Group],MATCH("~"&amp;Edges[[#This Row],[Vertex 1]],GroupVertices[Vertex],0)),1,1,"")</f>
        <v>2</v>
      </c>
      <c r="AD684" s="80" t="str">
        <f>REPLACE(INDEX(GroupVertices[Group],MATCH("~"&amp;Edges[[#This Row],[Vertex 2]],GroupVertices[Vertex],0)),1,1,"")</f>
        <v>2</v>
      </c>
      <c r="AE684" s="105"/>
      <c r="AF684" s="105"/>
      <c r="AG684" s="105"/>
      <c r="AH684" s="105"/>
      <c r="AI684" s="105"/>
      <c r="AJ684" s="105"/>
      <c r="AK684" s="105"/>
      <c r="AL684" s="105"/>
      <c r="AM684" s="105"/>
    </row>
    <row r="685" spans="1:39" ht="15">
      <c r="A685" s="62" t="s">
        <v>241</v>
      </c>
      <c r="B685" s="62" t="s">
        <v>249</v>
      </c>
      <c r="C685" s="63" t="s">
        <v>3610</v>
      </c>
      <c r="D685" s="64">
        <v>10</v>
      </c>
      <c r="E685" s="65" t="s">
        <v>136</v>
      </c>
      <c r="F685" s="66">
        <v>6</v>
      </c>
      <c r="G685" s="63"/>
      <c r="H685" s="67"/>
      <c r="I685" s="68"/>
      <c r="J685" s="68"/>
      <c r="K685" s="31" t="s">
        <v>65</v>
      </c>
      <c r="L685" s="76">
        <v>685</v>
      </c>
      <c r="M685" s="76"/>
      <c r="N685" s="70"/>
      <c r="O685" s="78" t="s">
        <v>305</v>
      </c>
      <c r="P685" s="78" t="s">
        <v>526</v>
      </c>
      <c r="Q685" s="78" t="s">
        <v>1034</v>
      </c>
      <c r="R685" s="78" t="s">
        <v>1503</v>
      </c>
      <c r="S685" s="78"/>
      <c r="T685" s="78"/>
      <c r="U685" s="78"/>
      <c r="V685" s="78"/>
      <c r="W685" s="81" t="s">
        <v>1674</v>
      </c>
      <c r="X685" s="81" t="s">
        <v>1674</v>
      </c>
      <c r="Y685" s="78"/>
      <c r="Z685" s="78"/>
      <c r="AA685" s="81" t="s">
        <v>1674</v>
      </c>
      <c r="AB685" s="79">
        <v>54</v>
      </c>
      <c r="AC685" s="80" t="str">
        <f>REPLACE(INDEX(GroupVertices[Group],MATCH("~"&amp;Edges[[#This Row],[Vertex 1]],GroupVertices[Vertex],0)),1,1,"")</f>
        <v>2</v>
      </c>
      <c r="AD685" s="80" t="str">
        <f>REPLACE(INDEX(GroupVertices[Group],MATCH("~"&amp;Edges[[#This Row],[Vertex 2]],GroupVertices[Vertex],0)),1,1,"")</f>
        <v>2</v>
      </c>
      <c r="AE685" s="105"/>
      <c r="AF685" s="105"/>
      <c r="AG685" s="105"/>
      <c r="AH685" s="105"/>
      <c r="AI685" s="105"/>
      <c r="AJ685" s="105"/>
      <c r="AK685" s="105"/>
      <c r="AL685" s="105"/>
      <c r="AM685" s="105"/>
    </row>
    <row r="686" spans="1:39" ht="15">
      <c r="A686" s="62" t="s">
        <v>241</v>
      </c>
      <c r="B686" s="62" t="s">
        <v>249</v>
      </c>
      <c r="C686" s="63" t="s">
        <v>3610</v>
      </c>
      <c r="D686" s="64">
        <v>10</v>
      </c>
      <c r="E686" s="65" t="s">
        <v>136</v>
      </c>
      <c r="F686" s="66">
        <v>6</v>
      </c>
      <c r="G686" s="63"/>
      <c r="H686" s="67"/>
      <c r="I686" s="68"/>
      <c r="J686" s="68"/>
      <c r="K686" s="31" t="s">
        <v>65</v>
      </c>
      <c r="L686" s="76">
        <v>686</v>
      </c>
      <c r="M686" s="76"/>
      <c r="N686" s="70"/>
      <c r="O686" s="78" t="s">
        <v>305</v>
      </c>
      <c r="P686" s="78" t="s">
        <v>526</v>
      </c>
      <c r="Q686" s="78" t="s">
        <v>1034</v>
      </c>
      <c r="R686" s="78" t="s">
        <v>1504</v>
      </c>
      <c r="S686" s="78"/>
      <c r="T686" s="78"/>
      <c r="U686" s="78"/>
      <c r="V686" s="78"/>
      <c r="W686" s="81" t="s">
        <v>1674</v>
      </c>
      <c r="X686" s="81" t="s">
        <v>1674</v>
      </c>
      <c r="Y686" s="78"/>
      <c r="Z686" s="78"/>
      <c r="AA686" s="81" t="s">
        <v>1674</v>
      </c>
      <c r="AB686" s="79">
        <v>54</v>
      </c>
      <c r="AC686" s="80" t="str">
        <f>REPLACE(INDEX(GroupVertices[Group],MATCH("~"&amp;Edges[[#This Row],[Vertex 1]],GroupVertices[Vertex],0)),1,1,"")</f>
        <v>2</v>
      </c>
      <c r="AD686" s="80" t="str">
        <f>REPLACE(INDEX(GroupVertices[Group],MATCH("~"&amp;Edges[[#This Row],[Vertex 2]],GroupVertices[Vertex],0)),1,1,"")</f>
        <v>2</v>
      </c>
      <c r="AE686" s="105"/>
      <c r="AF686" s="105"/>
      <c r="AG686" s="105"/>
      <c r="AH686" s="105"/>
      <c r="AI686" s="105"/>
      <c r="AJ686" s="105"/>
      <c r="AK686" s="105"/>
      <c r="AL686" s="105"/>
      <c r="AM686" s="105"/>
    </row>
    <row r="687" spans="1:39" ht="15">
      <c r="A687" s="62" t="s">
        <v>241</v>
      </c>
      <c r="B687" s="62" t="s">
        <v>249</v>
      </c>
      <c r="C687" s="63" t="s">
        <v>3610</v>
      </c>
      <c r="D687" s="64">
        <v>10</v>
      </c>
      <c r="E687" s="65" t="s">
        <v>136</v>
      </c>
      <c r="F687" s="66">
        <v>6</v>
      </c>
      <c r="G687" s="63"/>
      <c r="H687" s="67"/>
      <c r="I687" s="68"/>
      <c r="J687" s="68"/>
      <c r="K687" s="31" t="s">
        <v>65</v>
      </c>
      <c r="L687" s="76">
        <v>687</v>
      </c>
      <c r="M687" s="76"/>
      <c r="N687" s="70"/>
      <c r="O687" s="78" t="s">
        <v>305</v>
      </c>
      <c r="P687" s="78" t="s">
        <v>526</v>
      </c>
      <c r="Q687" s="78" t="s">
        <v>1035</v>
      </c>
      <c r="R687" s="78" t="s">
        <v>1503</v>
      </c>
      <c r="S687" s="78"/>
      <c r="T687" s="78"/>
      <c r="U687" s="78"/>
      <c r="V687" s="78"/>
      <c r="W687" s="81" t="s">
        <v>1674</v>
      </c>
      <c r="X687" s="81" t="s">
        <v>1674</v>
      </c>
      <c r="Y687" s="78"/>
      <c r="Z687" s="78"/>
      <c r="AA687" s="81" t="s">
        <v>1674</v>
      </c>
      <c r="AB687" s="79">
        <v>54</v>
      </c>
      <c r="AC687" s="80" t="str">
        <f>REPLACE(INDEX(GroupVertices[Group],MATCH("~"&amp;Edges[[#This Row],[Vertex 1]],GroupVertices[Vertex],0)),1,1,"")</f>
        <v>2</v>
      </c>
      <c r="AD687" s="80" t="str">
        <f>REPLACE(INDEX(GroupVertices[Group],MATCH("~"&amp;Edges[[#This Row],[Vertex 2]],GroupVertices[Vertex],0)),1,1,"")</f>
        <v>2</v>
      </c>
      <c r="AE687" s="105"/>
      <c r="AF687" s="105"/>
      <c r="AG687" s="105"/>
      <c r="AH687" s="105"/>
      <c r="AI687" s="105"/>
      <c r="AJ687" s="105"/>
      <c r="AK687" s="105"/>
      <c r="AL687" s="105"/>
      <c r="AM687" s="105"/>
    </row>
    <row r="688" spans="1:39" ht="15">
      <c r="A688" s="62" t="s">
        <v>241</v>
      </c>
      <c r="B688" s="62" t="s">
        <v>249</v>
      </c>
      <c r="C688" s="63" t="s">
        <v>3610</v>
      </c>
      <c r="D688" s="64">
        <v>10</v>
      </c>
      <c r="E688" s="65" t="s">
        <v>136</v>
      </c>
      <c r="F688" s="66">
        <v>6</v>
      </c>
      <c r="G688" s="63"/>
      <c r="H688" s="67"/>
      <c r="I688" s="68"/>
      <c r="J688" s="68"/>
      <c r="K688" s="31" t="s">
        <v>65</v>
      </c>
      <c r="L688" s="76">
        <v>688</v>
      </c>
      <c r="M688" s="76"/>
      <c r="N688" s="70"/>
      <c r="O688" s="78" t="s">
        <v>305</v>
      </c>
      <c r="P688" s="78" t="s">
        <v>526</v>
      </c>
      <c r="Q688" s="78" t="s">
        <v>1035</v>
      </c>
      <c r="R688" s="78" t="s">
        <v>1504</v>
      </c>
      <c r="S688" s="78"/>
      <c r="T688" s="78"/>
      <c r="U688" s="78"/>
      <c r="V688" s="78"/>
      <c r="W688" s="81" t="s">
        <v>1674</v>
      </c>
      <c r="X688" s="81" t="s">
        <v>1674</v>
      </c>
      <c r="Y688" s="78"/>
      <c r="Z688" s="78"/>
      <c r="AA688" s="81" t="s">
        <v>1674</v>
      </c>
      <c r="AB688" s="79">
        <v>54</v>
      </c>
      <c r="AC688" s="80" t="str">
        <f>REPLACE(INDEX(GroupVertices[Group],MATCH("~"&amp;Edges[[#This Row],[Vertex 1]],GroupVertices[Vertex],0)),1,1,"")</f>
        <v>2</v>
      </c>
      <c r="AD688" s="80" t="str">
        <f>REPLACE(INDEX(GroupVertices[Group],MATCH("~"&amp;Edges[[#This Row],[Vertex 2]],GroupVertices[Vertex],0)),1,1,"")</f>
        <v>2</v>
      </c>
      <c r="AE688" s="105"/>
      <c r="AF688" s="105"/>
      <c r="AG688" s="105"/>
      <c r="AH688" s="105"/>
      <c r="AI688" s="105"/>
      <c r="AJ688" s="105"/>
      <c r="AK688" s="105"/>
      <c r="AL688" s="105"/>
      <c r="AM688" s="105"/>
    </row>
    <row r="689" spans="1:39" ht="15">
      <c r="A689" s="62" t="s">
        <v>241</v>
      </c>
      <c r="B689" s="62" t="s">
        <v>249</v>
      </c>
      <c r="C689" s="63" t="s">
        <v>3610</v>
      </c>
      <c r="D689" s="64">
        <v>10</v>
      </c>
      <c r="E689" s="65" t="s">
        <v>136</v>
      </c>
      <c r="F689" s="66">
        <v>6</v>
      </c>
      <c r="G689" s="63"/>
      <c r="H689" s="67"/>
      <c r="I689" s="68"/>
      <c r="J689" s="68"/>
      <c r="K689" s="31" t="s">
        <v>65</v>
      </c>
      <c r="L689" s="76">
        <v>689</v>
      </c>
      <c r="M689" s="76"/>
      <c r="N689" s="70"/>
      <c r="O689" s="78" t="s">
        <v>305</v>
      </c>
      <c r="P689" s="78" t="s">
        <v>522</v>
      </c>
      <c r="Q689" s="78" t="s">
        <v>1027</v>
      </c>
      <c r="R689" s="78" t="s">
        <v>1172</v>
      </c>
      <c r="S689" s="78"/>
      <c r="T689" s="78"/>
      <c r="U689" s="78"/>
      <c r="V689" s="78"/>
      <c r="W689" s="81" t="s">
        <v>1674</v>
      </c>
      <c r="X689" s="81" t="s">
        <v>1674</v>
      </c>
      <c r="Y689" s="78"/>
      <c r="Z689" s="78"/>
      <c r="AA689" s="81" t="s">
        <v>1674</v>
      </c>
      <c r="AB689" s="79">
        <v>54</v>
      </c>
      <c r="AC689" s="80" t="str">
        <f>REPLACE(INDEX(GroupVertices[Group],MATCH("~"&amp;Edges[[#This Row],[Vertex 1]],GroupVertices[Vertex],0)),1,1,"")</f>
        <v>2</v>
      </c>
      <c r="AD689" s="80" t="str">
        <f>REPLACE(INDEX(GroupVertices[Group],MATCH("~"&amp;Edges[[#This Row],[Vertex 2]],GroupVertices[Vertex],0)),1,1,"")</f>
        <v>2</v>
      </c>
      <c r="AE689" s="105"/>
      <c r="AF689" s="105"/>
      <c r="AG689" s="105"/>
      <c r="AH689" s="105"/>
      <c r="AI689" s="105"/>
      <c r="AJ689" s="105"/>
      <c r="AK689" s="105"/>
      <c r="AL689" s="105"/>
      <c r="AM689" s="105"/>
    </row>
    <row r="690" spans="1:39" ht="15">
      <c r="A690" s="62" t="s">
        <v>241</v>
      </c>
      <c r="B690" s="62" t="s">
        <v>249</v>
      </c>
      <c r="C690" s="63" t="s">
        <v>3610</v>
      </c>
      <c r="D690" s="64">
        <v>10</v>
      </c>
      <c r="E690" s="65" t="s">
        <v>136</v>
      </c>
      <c r="F690" s="66">
        <v>6</v>
      </c>
      <c r="G690" s="63"/>
      <c r="H690" s="67"/>
      <c r="I690" s="68"/>
      <c r="J690" s="68"/>
      <c r="K690" s="31" t="s">
        <v>65</v>
      </c>
      <c r="L690" s="76">
        <v>690</v>
      </c>
      <c r="M690" s="76"/>
      <c r="N690" s="70"/>
      <c r="O690" s="78" t="s">
        <v>305</v>
      </c>
      <c r="P690" s="78" t="s">
        <v>522</v>
      </c>
      <c r="Q690" s="78" t="s">
        <v>1027</v>
      </c>
      <c r="R690" s="78" t="s">
        <v>1173</v>
      </c>
      <c r="S690" s="78"/>
      <c r="T690" s="78"/>
      <c r="U690" s="78"/>
      <c r="V690" s="78"/>
      <c r="W690" s="81" t="s">
        <v>1674</v>
      </c>
      <c r="X690" s="81" t="s">
        <v>1674</v>
      </c>
      <c r="Y690" s="78"/>
      <c r="Z690" s="78"/>
      <c r="AA690" s="81" t="s">
        <v>1674</v>
      </c>
      <c r="AB690" s="79">
        <v>54</v>
      </c>
      <c r="AC690" s="80" t="str">
        <f>REPLACE(INDEX(GroupVertices[Group],MATCH("~"&amp;Edges[[#This Row],[Vertex 1]],GroupVertices[Vertex],0)),1,1,"")</f>
        <v>2</v>
      </c>
      <c r="AD690" s="80" t="str">
        <f>REPLACE(INDEX(GroupVertices[Group],MATCH("~"&amp;Edges[[#This Row],[Vertex 2]],GroupVertices[Vertex],0)),1,1,"")</f>
        <v>2</v>
      </c>
      <c r="AE690" s="105"/>
      <c r="AF690" s="105"/>
      <c r="AG690" s="105"/>
      <c r="AH690" s="105"/>
      <c r="AI690" s="105"/>
      <c r="AJ690" s="105"/>
      <c r="AK690" s="105"/>
      <c r="AL690" s="105"/>
      <c r="AM690" s="105"/>
    </row>
    <row r="691" spans="1:39" ht="15">
      <c r="A691" s="62" t="s">
        <v>241</v>
      </c>
      <c r="B691" s="62" t="s">
        <v>249</v>
      </c>
      <c r="C691" s="63" t="s">
        <v>3610</v>
      </c>
      <c r="D691" s="64">
        <v>10</v>
      </c>
      <c r="E691" s="65" t="s">
        <v>136</v>
      </c>
      <c r="F691" s="66">
        <v>6</v>
      </c>
      <c r="G691" s="63"/>
      <c r="H691" s="67"/>
      <c r="I691" s="68"/>
      <c r="J691" s="68"/>
      <c r="K691" s="31" t="s">
        <v>65</v>
      </c>
      <c r="L691" s="76">
        <v>691</v>
      </c>
      <c r="M691" s="76"/>
      <c r="N691" s="70"/>
      <c r="O691" s="78" t="s">
        <v>305</v>
      </c>
      <c r="P691" s="78" t="s">
        <v>522</v>
      </c>
      <c r="Q691" s="78" t="s">
        <v>1027</v>
      </c>
      <c r="R691" s="78" t="s">
        <v>1174</v>
      </c>
      <c r="S691" s="78"/>
      <c r="T691" s="78"/>
      <c r="U691" s="78"/>
      <c r="V691" s="78"/>
      <c r="W691" s="81" t="s">
        <v>1674</v>
      </c>
      <c r="X691" s="81" t="s">
        <v>1674</v>
      </c>
      <c r="Y691" s="78"/>
      <c r="Z691" s="78"/>
      <c r="AA691" s="81" t="s">
        <v>1674</v>
      </c>
      <c r="AB691" s="79">
        <v>54</v>
      </c>
      <c r="AC691" s="80" t="str">
        <f>REPLACE(INDEX(GroupVertices[Group],MATCH("~"&amp;Edges[[#This Row],[Vertex 1]],GroupVertices[Vertex],0)),1,1,"")</f>
        <v>2</v>
      </c>
      <c r="AD691" s="80" t="str">
        <f>REPLACE(INDEX(GroupVertices[Group],MATCH("~"&amp;Edges[[#This Row],[Vertex 2]],GroupVertices[Vertex],0)),1,1,"")</f>
        <v>2</v>
      </c>
      <c r="AE691" s="105"/>
      <c r="AF691" s="105"/>
      <c r="AG691" s="105"/>
      <c r="AH691" s="105"/>
      <c r="AI691" s="105"/>
      <c r="AJ691" s="105"/>
      <c r="AK691" s="105"/>
      <c r="AL691" s="105"/>
      <c r="AM691" s="105"/>
    </row>
    <row r="692" spans="1:39" ht="15">
      <c r="A692" s="62" t="s">
        <v>241</v>
      </c>
      <c r="B692" s="62" t="s">
        <v>249</v>
      </c>
      <c r="C692" s="63" t="s">
        <v>3610</v>
      </c>
      <c r="D692" s="64">
        <v>10</v>
      </c>
      <c r="E692" s="65" t="s">
        <v>136</v>
      </c>
      <c r="F692" s="66">
        <v>6</v>
      </c>
      <c r="G692" s="63"/>
      <c r="H692" s="67"/>
      <c r="I692" s="68"/>
      <c r="J692" s="68"/>
      <c r="K692" s="31" t="s">
        <v>65</v>
      </c>
      <c r="L692" s="76">
        <v>692</v>
      </c>
      <c r="M692" s="76"/>
      <c r="N692" s="70"/>
      <c r="O692" s="78" t="s">
        <v>305</v>
      </c>
      <c r="P692" s="78" t="s">
        <v>522</v>
      </c>
      <c r="Q692" s="78" t="s">
        <v>1027</v>
      </c>
      <c r="R692" s="78" t="s">
        <v>1175</v>
      </c>
      <c r="S692" s="78"/>
      <c r="T692" s="78"/>
      <c r="U692" s="78"/>
      <c r="V692" s="78"/>
      <c r="W692" s="81" t="s">
        <v>1674</v>
      </c>
      <c r="X692" s="81" t="s">
        <v>1674</v>
      </c>
      <c r="Y692" s="78"/>
      <c r="Z692" s="78"/>
      <c r="AA692" s="81" t="s">
        <v>1674</v>
      </c>
      <c r="AB692" s="79">
        <v>54</v>
      </c>
      <c r="AC692" s="80" t="str">
        <f>REPLACE(INDEX(GroupVertices[Group],MATCH("~"&amp;Edges[[#This Row],[Vertex 1]],GroupVertices[Vertex],0)),1,1,"")</f>
        <v>2</v>
      </c>
      <c r="AD692" s="80" t="str">
        <f>REPLACE(INDEX(GroupVertices[Group],MATCH("~"&amp;Edges[[#This Row],[Vertex 2]],GroupVertices[Vertex],0)),1,1,"")</f>
        <v>2</v>
      </c>
      <c r="AE692" s="105"/>
      <c r="AF692" s="105"/>
      <c r="AG692" s="105"/>
      <c r="AH692" s="105"/>
      <c r="AI692" s="105"/>
      <c r="AJ692" s="105"/>
      <c r="AK692" s="105"/>
      <c r="AL692" s="105"/>
      <c r="AM692" s="105"/>
    </row>
    <row r="693" spans="1:39" ht="15">
      <c r="A693" s="62" t="s">
        <v>241</v>
      </c>
      <c r="B693" s="62" t="s">
        <v>249</v>
      </c>
      <c r="C693" s="63" t="s">
        <v>3610</v>
      </c>
      <c r="D693" s="64">
        <v>10</v>
      </c>
      <c r="E693" s="65" t="s">
        <v>136</v>
      </c>
      <c r="F693" s="66">
        <v>6</v>
      </c>
      <c r="G693" s="63"/>
      <c r="H693" s="67"/>
      <c r="I693" s="68"/>
      <c r="J693" s="68"/>
      <c r="K693" s="31" t="s">
        <v>65</v>
      </c>
      <c r="L693" s="76">
        <v>693</v>
      </c>
      <c r="M693" s="76"/>
      <c r="N693" s="70"/>
      <c r="O693" s="78" t="s">
        <v>305</v>
      </c>
      <c r="P693" s="78" t="s">
        <v>522</v>
      </c>
      <c r="Q693" s="78" t="s">
        <v>1027</v>
      </c>
      <c r="R693" s="78" t="s">
        <v>1176</v>
      </c>
      <c r="S693" s="78"/>
      <c r="T693" s="78"/>
      <c r="U693" s="78"/>
      <c r="V693" s="78"/>
      <c r="W693" s="81" t="s">
        <v>1674</v>
      </c>
      <c r="X693" s="81" t="s">
        <v>1674</v>
      </c>
      <c r="Y693" s="78"/>
      <c r="Z693" s="78"/>
      <c r="AA693" s="81" t="s">
        <v>1674</v>
      </c>
      <c r="AB693" s="79">
        <v>54</v>
      </c>
      <c r="AC693" s="80" t="str">
        <f>REPLACE(INDEX(GroupVertices[Group],MATCH("~"&amp;Edges[[#This Row],[Vertex 1]],GroupVertices[Vertex],0)),1,1,"")</f>
        <v>2</v>
      </c>
      <c r="AD693" s="80" t="str">
        <f>REPLACE(INDEX(GroupVertices[Group],MATCH("~"&amp;Edges[[#This Row],[Vertex 2]],GroupVertices[Vertex],0)),1,1,"")</f>
        <v>2</v>
      </c>
      <c r="AE693" s="105"/>
      <c r="AF693" s="105"/>
      <c r="AG693" s="105"/>
      <c r="AH693" s="105"/>
      <c r="AI693" s="105"/>
      <c r="AJ693" s="105"/>
      <c r="AK693" s="105"/>
      <c r="AL693" s="105"/>
      <c r="AM693" s="105"/>
    </row>
    <row r="694" spans="1:39" ht="15">
      <c r="A694" s="62" t="s">
        <v>241</v>
      </c>
      <c r="B694" s="62" t="s">
        <v>249</v>
      </c>
      <c r="C694" s="63" t="s">
        <v>3610</v>
      </c>
      <c r="D694" s="64">
        <v>10</v>
      </c>
      <c r="E694" s="65" t="s">
        <v>136</v>
      </c>
      <c r="F694" s="66">
        <v>6</v>
      </c>
      <c r="G694" s="63"/>
      <c r="H694" s="67"/>
      <c r="I694" s="68"/>
      <c r="J694" s="68"/>
      <c r="K694" s="31" t="s">
        <v>65</v>
      </c>
      <c r="L694" s="76">
        <v>694</v>
      </c>
      <c r="M694" s="76"/>
      <c r="N694" s="70"/>
      <c r="O694" s="78" t="s">
        <v>305</v>
      </c>
      <c r="P694" s="78" t="s">
        <v>522</v>
      </c>
      <c r="Q694" s="78" t="s">
        <v>1027</v>
      </c>
      <c r="R694" s="78" t="s">
        <v>1177</v>
      </c>
      <c r="S694" s="78"/>
      <c r="T694" s="78"/>
      <c r="U694" s="78"/>
      <c r="V694" s="78"/>
      <c r="W694" s="81" t="s">
        <v>1674</v>
      </c>
      <c r="X694" s="81" t="s">
        <v>1674</v>
      </c>
      <c r="Y694" s="78"/>
      <c r="Z694" s="78"/>
      <c r="AA694" s="81" t="s">
        <v>1674</v>
      </c>
      <c r="AB694" s="79">
        <v>54</v>
      </c>
      <c r="AC694" s="80" t="str">
        <f>REPLACE(INDEX(GroupVertices[Group],MATCH("~"&amp;Edges[[#This Row],[Vertex 1]],GroupVertices[Vertex],0)),1,1,"")</f>
        <v>2</v>
      </c>
      <c r="AD694" s="80" t="str">
        <f>REPLACE(INDEX(GroupVertices[Group],MATCH("~"&amp;Edges[[#This Row],[Vertex 2]],GroupVertices[Vertex],0)),1,1,"")</f>
        <v>2</v>
      </c>
      <c r="AE694" s="105"/>
      <c r="AF694" s="105"/>
      <c r="AG694" s="105"/>
      <c r="AH694" s="105"/>
      <c r="AI694" s="105"/>
      <c r="AJ694" s="105"/>
      <c r="AK694" s="105"/>
      <c r="AL694" s="105"/>
      <c r="AM694" s="105"/>
    </row>
    <row r="695" spans="1:39" ht="15">
      <c r="A695" s="62" t="s">
        <v>241</v>
      </c>
      <c r="B695" s="62" t="s">
        <v>249</v>
      </c>
      <c r="C695" s="63" t="s">
        <v>3610</v>
      </c>
      <c r="D695" s="64">
        <v>10</v>
      </c>
      <c r="E695" s="65" t="s">
        <v>136</v>
      </c>
      <c r="F695" s="66">
        <v>6</v>
      </c>
      <c r="G695" s="63"/>
      <c r="H695" s="67"/>
      <c r="I695" s="68"/>
      <c r="J695" s="68"/>
      <c r="K695" s="31" t="s">
        <v>65</v>
      </c>
      <c r="L695" s="76">
        <v>695</v>
      </c>
      <c r="M695" s="76"/>
      <c r="N695" s="70"/>
      <c r="O695" s="78" t="s">
        <v>305</v>
      </c>
      <c r="P695" s="78" t="s">
        <v>522</v>
      </c>
      <c r="Q695" s="78" t="s">
        <v>1027</v>
      </c>
      <c r="R695" s="78" t="s">
        <v>1181</v>
      </c>
      <c r="S695" s="78"/>
      <c r="T695" s="78"/>
      <c r="U695" s="78"/>
      <c r="V695" s="78"/>
      <c r="W695" s="81" t="s">
        <v>1674</v>
      </c>
      <c r="X695" s="81" t="s">
        <v>1674</v>
      </c>
      <c r="Y695" s="78"/>
      <c r="Z695" s="78"/>
      <c r="AA695" s="81" t="s">
        <v>1674</v>
      </c>
      <c r="AB695" s="79">
        <v>54</v>
      </c>
      <c r="AC695" s="80" t="str">
        <f>REPLACE(INDEX(GroupVertices[Group],MATCH("~"&amp;Edges[[#This Row],[Vertex 1]],GroupVertices[Vertex],0)),1,1,"")</f>
        <v>2</v>
      </c>
      <c r="AD695" s="80" t="str">
        <f>REPLACE(INDEX(GroupVertices[Group],MATCH("~"&amp;Edges[[#This Row],[Vertex 2]],GroupVertices[Vertex],0)),1,1,"")</f>
        <v>2</v>
      </c>
      <c r="AE695" s="105"/>
      <c r="AF695" s="105"/>
      <c r="AG695" s="105"/>
      <c r="AH695" s="105"/>
      <c r="AI695" s="105"/>
      <c r="AJ695" s="105"/>
      <c r="AK695" s="105"/>
      <c r="AL695" s="105"/>
      <c r="AM695" s="105"/>
    </row>
    <row r="696" spans="1:39" ht="15">
      <c r="A696" s="62" t="s">
        <v>241</v>
      </c>
      <c r="B696" s="62" t="s">
        <v>249</v>
      </c>
      <c r="C696" s="63" t="s">
        <v>3610</v>
      </c>
      <c r="D696" s="64">
        <v>10</v>
      </c>
      <c r="E696" s="65" t="s">
        <v>136</v>
      </c>
      <c r="F696" s="66">
        <v>6</v>
      </c>
      <c r="G696" s="63"/>
      <c r="H696" s="67"/>
      <c r="I696" s="68"/>
      <c r="J696" s="68"/>
      <c r="K696" s="31" t="s">
        <v>65</v>
      </c>
      <c r="L696" s="76">
        <v>696</v>
      </c>
      <c r="M696" s="76"/>
      <c r="N696" s="70"/>
      <c r="O696" s="78" t="s">
        <v>305</v>
      </c>
      <c r="P696" s="78" t="s">
        <v>522</v>
      </c>
      <c r="Q696" s="78" t="s">
        <v>1028</v>
      </c>
      <c r="R696" s="78" t="s">
        <v>1172</v>
      </c>
      <c r="S696" s="78"/>
      <c r="T696" s="78"/>
      <c r="U696" s="78"/>
      <c r="V696" s="78"/>
      <c r="W696" s="81" t="s">
        <v>1674</v>
      </c>
      <c r="X696" s="81" t="s">
        <v>1674</v>
      </c>
      <c r="Y696" s="78"/>
      <c r="Z696" s="78"/>
      <c r="AA696" s="81" t="s">
        <v>1674</v>
      </c>
      <c r="AB696" s="79">
        <v>54</v>
      </c>
      <c r="AC696" s="80" t="str">
        <f>REPLACE(INDEX(GroupVertices[Group],MATCH("~"&amp;Edges[[#This Row],[Vertex 1]],GroupVertices[Vertex],0)),1,1,"")</f>
        <v>2</v>
      </c>
      <c r="AD696" s="80" t="str">
        <f>REPLACE(INDEX(GroupVertices[Group],MATCH("~"&amp;Edges[[#This Row],[Vertex 2]],GroupVertices[Vertex],0)),1,1,"")</f>
        <v>2</v>
      </c>
      <c r="AE696" s="105"/>
      <c r="AF696" s="105"/>
      <c r="AG696" s="105"/>
      <c r="AH696" s="105"/>
      <c r="AI696" s="105"/>
      <c r="AJ696" s="105"/>
      <c r="AK696" s="105"/>
      <c r="AL696" s="105"/>
      <c r="AM696" s="105"/>
    </row>
    <row r="697" spans="1:39" ht="15">
      <c r="A697" s="62" t="s">
        <v>241</v>
      </c>
      <c r="B697" s="62" t="s">
        <v>249</v>
      </c>
      <c r="C697" s="63" t="s">
        <v>3610</v>
      </c>
      <c r="D697" s="64">
        <v>10</v>
      </c>
      <c r="E697" s="65" t="s">
        <v>136</v>
      </c>
      <c r="F697" s="66">
        <v>6</v>
      </c>
      <c r="G697" s="63"/>
      <c r="H697" s="67"/>
      <c r="I697" s="68"/>
      <c r="J697" s="68"/>
      <c r="K697" s="31" t="s">
        <v>65</v>
      </c>
      <c r="L697" s="76">
        <v>697</v>
      </c>
      <c r="M697" s="76"/>
      <c r="N697" s="70"/>
      <c r="O697" s="78" t="s">
        <v>305</v>
      </c>
      <c r="P697" s="78" t="s">
        <v>522</v>
      </c>
      <c r="Q697" s="78" t="s">
        <v>1028</v>
      </c>
      <c r="R697" s="78" t="s">
        <v>1173</v>
      </c>
      <c r="S697" s="78"/>
      <c r="T697" s="78"/>
      <c r="U697" s="78"/>
      <c r="V697" s="78"/>
      <c r="W697" s="81" t="s">
        <v>1674</v>
      </c>
      <c r="X697" s="81" t="s">
        <v>1674</v>
      </c>
      <c r="Y697" s="78"/>
      <c r="Z697" s="78"/>
      <c r="AA697" s="81" t="s">
        <v>1674</v>
      </c>
      <c r="AB697" s="79">
        <v>54</v>
      </c>
      <c r="AC697" s="80" t="str">
        <f>REPLACE(INDEX(GroupVertices[Group],MATCH("~"&amp;Edges[[#This Row],[Vertex 1]],GroupVertices[Vertex],0)),1,1,"")</f>
        <v>2</v>
      </c>
      <c r="AD697" s="80" t="str">
        <f>REPLACE(INDEX(GroupVertices[Group],MATCH("~"&amp;Edges[[#This Row],[Vertex 2]],GroupVertices[Vertex],0)),1,1,"")</f>
        <v>2</v>
      </c>
      <c r="AE697" s="105"/>
      <c r="AF697" s="105"/>
      <c r="AG697" s="105"/>
      <c r="AH697" s="105"/>
      <c r="AI697" s="105"/>
      <c r="AJ697" s="105"/>
      <c r="AK697" s="105"/>
      <c r="AL697" s="105"/>
      <c r="AM697" s="105"/>
    </row>
    <row r="698" spans="1:39" ht="15">
      <c r="A698" s="62" t="s">
        <v>241</v>
      </c>
      <c r="B698" s="62" t="s">
        <v>249</v>
      </c>
      <c r="C698" s="63" t="s">
        <v>3610</v>
      </c>
      <c r="D698" s="64">
        <v>10</v>
      </c>
      <c r="E698" s="65" t="s">
        <v>136</v>
      </c>
      <c r="F698" s="66">
        <v>6</v>
      </c>
      <c r="G698" s="63"/>
      <c r="H698" s="67"/>
      <c r="I698" s="68"/>
      <c r="J698" s="68"/>
      <c r="K698" s="31" t="s">
        <v>65</v>
      </c>
      <c r="L698" s="76">
        <v>698</v>
      </c>
      <c r="M698" s="76"/>
      <c r="N698" s="70"/>
      <c r="O698" s="78" t="s">
        <v>305</v>
      </c>
      <c r="P698" s="78" t="s">
        <v>522</v>
      </c>
      <c r="Q698" s="78" t="s">
        <v>1028</v>
      </c>
      <c r="R698" s="78" t="s">
        <v>1174</v>
      </c>
      <c r="S698" s="78"/>
      <c r="T698" s="78"/>
      <c r="U698" s="78"/>
      <c r="V698" s="78"/>
      <c r="W698" s="81" t="s">
        <v>1674</v>
      </c>
      <c r="X698" s="81" t="s">
        <v>1674</v>
      </c>
      <c r="Y698" s="78"/>
      <c r="Z698" s="78"/>
      <c r="AA698" s="81" t="s">
        <v>1674</v>
      </c>
      <c r="AB698" s="79">
        <v>54</v>
      </c>
      <c r="AC698" s="80" t="str">
        <f>REPLACE(INDEX(GroupVertices[Group],MATCH("~"&amp;Edges[[#This Row],[Vertex 1]],GroupVertices[Vertex],0)),1,1,"")</f>
        <v>2</v>
      </c>
      <c r="AD698" s="80" t="str">
        <f>REPLACE(INDEX(GroupVertices[Group],MATCH("~"&amp;Edges[[#This Row],[Vertex 2]],GroupVertices[Vertex],0)),1,1,"")</f>
        <v>2</v>
      </c>
      <c r="AE698" s="105"/>
      <c r="AF698" s="105"/>
      <c r="AG698" s="105"/>
      <c r="AH698" s="105"/>
      <c r="AI698" s="105"/>
      <c r="AJ698" s="105"/>
      <c r="AK698" s="105"/>
      <c r="AL698" s="105"/>
      <c r="AM698" s="105"/>
    </row>
    <row r="699" spans="1:39" ht="15">
      <c r="A699" s="62" t="s">
        <v>241</v>
      </c>
      <c r="B699" s="62" t="s">
        <v>249</v>
      </c>
      <c r="C699" s="63" t="s">
        <v>3610</v>
      </c>
      <c r="D699" s="64">
        <v>10</v>
      </c>
      <c r="E699" s="65" t="s">
        <v>136</v>
      </c>
      <c r="F699" s="66">
        <v>6</v>
      </c>
      <c r="G699" s="63"/>
      <c r="H699" s="67"/>
      <c r="I699" s="68"/>
      <c r="J699" s="68"/>
      <c r="K699" s="31" t="s">
        <v>65</v>
      </c>
      <c r="L699" s="76">
        <v>699</v>
      </c>
      <c r="M699" s="76"/>
      <c r="N699" s="70"/>
      <c r="O699" s="78" t="s">
        <v>305</v>
      </c>
      <c r="P699" s="78" t="s">
        <v>522</v>
      </c>
      <c r="Q699" s="78" t="s">
        <v>1028</v>
      </c>
      <c r="R699" s="78" t="s">
        <v>1175</v>
      </c>
      <c r="S699" s="78"/>
      <c r="T699" s="78"/>
      <c r="U699" s="78"/>
      <c r="V699" s="78"/>
      <c r="W699" s="81" t="s">
        <v>1674</v>
      </c>
      <c r="X699" s="81" t="s">
        <v>1674</v>
      </c>
      <c r="Y699" s="78"/>
      <c r="Z699" s="78"/>
      <c r="AA699" s="81" t="s">
        <v>1674</v>
      </c>
      <c r="AB699" s="79">
        <v>54</v>
      </c>
      <c r="AC699" s="80" t="str">
        <f>REPLACE(INDEX(GroupVertices[Group],MATCH("~"&amp;Edges[[#This Row],[Vertex 1]],GroupVertices[Vertex],0)),1,1,"")</f>
        <v>2</v>
      </c>
      <c r="AD699" s="80" t="str">
        <f>REPLACE(INDEX(GroupVertices[Group],MATCH("~"&amp;Edges[[#This Row],[Vertex 2]],GroupVertices[Vertex],0)),1,1,"")</f>
        <v>2</v>
      </c>
      <c r="AE699" s="105"/>
      <c r="AF699" s="105"/>
      <c r="AG699" s="105"/>
      <c r="AH699" s="105"/>
      <c r="AI699" s="105"/>
      <c r="AJ699" s="105"/>
      <c r="AK699" s="105"/>
      <c r="AL699" s="105"/>
      <c r="AM699" s="105"/>
    </row>
    <row r="700" spans="1:39" ht="15">
      <c r="A700" s="62" t="s">
        <v>241</v>
      </c>
      <c r="B700" s="62" t="s">
        <v>249</v>
      </c>
      <c r="C700" s="63" t="s">
        <v>3610</v>
      </c>
      <c r="D700" s="64">
        <v>10</v>
      </c>
      <c r="E700" s="65" t="s">
        <v>136</v>
      </c>
      <c r="F700" s="66">
        <v>6</v>
      </c>
      <c r="G700" s="63"/>
      <c r="H700" s="67"/>
      <c r="I700" s="68"/>
      <c r="J700" s="68"/>
      <c r="K700" s="31" t="s">
        <v>65</v>
      </c>
      <c r="L700" s="76">
        <v>700</v>
      </c>
      <c r="M700" s="76"/>
      <c r="N700" s="70"/>
      <c r="O700" s="78" t="s">
        <v>305</v>
      </c>
      <c r="P700" s="78" t="s">
        <v>522</v>
      </c>
      <c r="Q700" s="78" t="s">
        <v>1028</v>
      </c>
      <c r="R700" s="78" t="s">
        <v>1176</v>
      </c>
      <c r="S700" s="78"/>
      <c r="T700" s="78"/>
      <c r="U700" s="78"/>
      <c r="V700" s="78"/>
      <c r="W700" s="81" t="s">
        <v>1674</v>
      </c>
      <c r="X700" s="81" t="s">
        <v>1674</v>
      </c>
      <c r="Y700" s="78"/>
      <c r="Z700" s="78"/>
      <c r="AA700" s="81" t="s">
        <v>1674</v>
      </c>
      <c r="AB700" s="79">
        <v>54</v>
      </c>
      <c r="AC700" s="80" t="str">
        <f>REPLACE(INDEX(GroupVertices[Group],MATCH("~"&amp;Edges[[#This Row],[Vertex 1]],GroupVertices[Vertex],0)),1,1,"")</f>
        <v>2</v>
      </c>
      <c r="AD700" s="80" t="str">
        <f>REPLACE(INDEX(GroupVertices[Group],MATCH("~"&amp;Edges[[#This Row],[Vertex 2]],GroupVertices[Vertex],0)),1,1,"")</f>
        <v>2</v>
      </c>
      <c r="AE700" s="105"/>
      <c r="AF700" s="105"/>
      <c r="AG700" s="105"/>
      <c r="AH700" s="105"/>
      <c r="AI700" s="105"/>
      <c r="AJ700" s="105"/>
      <c r="AK700" s="105"/>
      <c r="AL700" s="105"/>
      <c r="AM700" s="105"/>
    </row>
    <row r="701" spans="1:39" ht="15">
      <c r="A701" s="62" t="s">
        <v>241</v>
      </c>
      <c r="B701" s="62" t="s">
        <v>249</v>
      </c>
      <c r="C701" s="63" t="s">
        <v>3610</v>
      </c>
      <c r="D701" s="64">
        <v>10</v>
      </c>
      <c r="E701" s="65" t="s">
        <v>136</v>
      </c>
      <c r="F701" s="66">
        <v>6</v>
      </c>
      <c r="G701" s="63"/>
      <c r="H701" s="67"/>
      <c r="I701" s="68"/>
      <c r="J701" s="68"/>
      <c r="K701" s="31" t="s">
        <v>65</v>
      </c>
      <c r="L701" s="76">
        <v>701</v>
      </c>
      <c r="M701" s="76"/>
      <c r="N701" s="70"/>
      <c r="O701" s="78" t="s">
        <v>305</v>
      </c>
      <c r="P701" s="78" t="s">
        <v>522</v>
      </c>
      <c r="Q701" s="78" t="s">
        <v>1028</v>
      </c>
      <c r="R701" s="78" t="s">
        <v>1177</v>
      </c>
      <c r="S701" s="78"/>
      <c r="T701" s="78"/>
      <c r="U701" s="78"/>
      <c r="V701" s="78"/>
      <c r="W701" s="81" t="s">
        <v>1674</v>
      </c>
      <c r="X701" s="81" t="s">
        <v>1674</v>
      </c>
      <c r="Y701" s="78"/>
      <c r="Z701" s="78"/>
      <c r="AA701" s="81" t="s">
        <v>1674</v>
      </c>
      <c r="AB701" s="79">
        <v>54</v>
      </c>
      <c r="AC701" s="80" t="str">
        <f>REPLACE(INDEX(GroupVertices[Group],MATCH("~"&amp;Edges[[#This Row],[Vertex 1]],GroupVertices[Vertex],0)),1,1,"")</f>
        <v>2</v>
      </c>
      <c r="AD701" s="80" t="str">
        <f>REPLACE(INDEX(GroupVertices[Group],MATCH("~"&amp;Edges[[#This Row],[Vertex 2]],GroupVertices[Vertex],0)),1,1,"")</f>
        <v>2</v>
      </c>
      <c r="AE701" s="105"/>
      <c r="AF701" s="105"/>
      <c r="AG701" s="105"/>
      <c r="AH701" s="105"/>
      <c r="AI701" s="105"/>
      <c r="AJ701" s="105"/>
      <c r="AK701" s="105"/>
      <c r="AL701" s="105"/>
      <c r="AM701" s="105"/>
    </row>
    <row r="702" spans="1:39" ht="15">
      <c r="A702" s="62" t="s">
        <v>241</v>
      </c>
      <c r="B702" s="62" t="s">
        <v>249</v>
      </c>
      <c r="C702" s="63" t="s">
        <v>3610</v>
      </c>
      <c r="D702" s="64">
        <v>10</v>
      </c>
      <c r="E702" s="65" t="s">
        <v>136</v>
      </c>
      <c r="F702" s="66">
        <v>6</v>
      </c>
      <c r="G702" s="63"/>
      <c r="H702" s="67"/>
      <c r="I702" s="68"/>
      <c r="J702" s="68"/>
      <c r="K702" s="31" t="s">
        <v>65</v>
      </c>
      <c r="L702" s="76">
        <v>702</v>
      </c>
      <c r="M702" s="76"/>
      <c r="N702" s="70"/>
      <c r="O702" s="78" t="s">
        <v>305</v>
      </c>
      <c r="P702" s="78" t="s">
        <v>522</v>
      </c>
      <c r="Q702" s="78" t="s">
        <v>1028</v>
      </c>
      <c r="R702" s="78" t="s">
        <v>1181</v>
      </c>
      <c r="S702" s="78"/>
      <c r="T702" s="78"/>
      <c r="U702" s="78"/>
      <c r="V702" s="78"/>
      <c r="W702" s="81" t="s">
        <v>1674</v>
      </c>
      <c r="X702" s="81" t="s">
        <v>1674</v>
      </c>
      <c r="Y702" s="78"/>
      <c r="Z702" s="78"/>
      <c r="AA702" s="81" t="s">
        <v>1674</v>
      </c>
      <c r="AB702" s="79">
        <v>54</v>
      </c>
      <c r="AC702" s="80" t="str">
        <f>REPLACE(INDEX(GroupVertices[Group],MATCH("~"&amp;Edges[[#This Row],[Vertex 1]],GroupVertices[Vertex],0)),1,1,"")</f>
        <v>2</v>
      </c>
      <c r="AD702" s="80" t="str">
        <f>REPLACE(INDEX(GroupVertices[Group],MATCH("~"&amp;Edges[[#This Row],[Vertex 2]],GroupVertices[Vertex],0)),1,1,"")</f>
        <v>2</v>
      </c>
      <c r="AE702" s="105"/>
      <c r="AF702" s="105"/>
      <c r="AG702" s="105"/>
      <c r="AH702" s="105"/>
      <c r="AI702" s="105"/>
      <c r="AJ702" s="105"/>
      <c r="AK702" s="105"/>
      <c r="AL702" s="105"/>
      <c r="AM702" s="105"/>
    </row>
    <row r="703" spans="1:39" ht="15">
      <c r="A703" s="62" t="s">
        <v>241</v>
      </c>
      <c r="B703" s="62" t="s">
        <v>249</v>
      </c>
      <c r="C703" s="63" t="s">
        <v>3610</v>
      </c>
      <c r="D703" s="64">
        <v>10</v>
      </c>
      <c r="E703" s="65" t="s">
        <v>136</v>
      </c>
      <c r="F703" s="66">
        <v>6</v>
      </c>
      <c r="G703" s="63"/>
      <c r="H703" s="67"/>
      <c r="I703" s="68"/>
      <c r="J703" s="68"/>
      <c r="K703" s="31" t="s">
        <v>65</v>
      </c>
      <c r="L703" s="76">
        <v>703</v>
      </c>
      <c r="M703" s="76"/>
      <c r="N703" s="70"/>
      <c r="O703" s="78" t="s">
        <v>305</v>
      </c>
      <c r="P703" s="78" t="s">
        <v>526</v>
      </c>
      <c r="Q703" s="78" t="s">
        <v>1036</v>
      </c>
      <c r="R703" s="78" t="s">
        <v>1503</v>
      </c>
      <c r="S703" s="78"/>
      <c r="T703" s="78"/>
      <c r="U703" s="78"/>
      <c r="V703" s="78"/>
      <c r="W703" s="81" t="s">
        <v>1674</v>
      </c>
      <c r="X703" s="81" t="s">
        <v>1674</v>
      </c>
      <c r="Y703" s="78"/>
      <c r="Z703" s="78"/>
      <c r="AA703" s="81" t="s">
        <v>1674</v>
      </c>
      <c r="AB703" s="79">
        <v>54</v>
      </c>
      <c r="AC703" s="80" t="str">
        <f>REPLACE(INDEX(GroupVertices[Group],MATCH("~"&amp;Edges[[#This Row],[Vertex 1]],GroupVertices[Vertex],0)),1,1,"")</f>
        <v>2</v>
      </c>
      <c r="AD703" s="80" t="str">
        <f>REPLACE(INDEX(GroupVertices[Group],MATCH("~"&amp;Edges[[#This Row],[Vertex 2]],GroupVertices[Vertex],0)),1,1,"")</f>
        <v>2</v>
      </c>
      <c r="AE703" s="105"/>
      <c r="AF703" s="105"/>
      <c r="AG703" s="105"/>
      <c r="AH703" s="105"/>
      <c r="AI703" s="105"/>
      <c r="AJ703" s="105"/>
      <c r="AK703" s="105"/>
      <c r="AL703" s="105"/>
      <c r="AM703" s="105"/>
    </row>
    <row r="704" spans="1:39" ht="15">
      <c r="A704" s="62" t="s">
        <v>241</v>
      </c>
      <c r="B704" s="62" t="s">
        <v>249</v>
      </c>
      <c r="C704" s="63" t="s">
        <v>3610</v>
      </c>
      <c r="D704" s="64">
        <v>10</v>
      </c>
      <c r="E704" s="65" t="s">
        <v>136</v>
      </c>
      <c r="F704" s="66">
        <v>6</v>
      </c>
      <c r="G704" s="63"/>
      <c r="H704" s="67"/>
      <c r="I704" s="68"/>
      <c r="J704" s="68"/>
      <c r="K704" s="31" t="s">
        <v>65</v>
      </c>
      <c r="L704" s="76">
        <v>704</v>
      </c>
      <c r="M704" s="76"/>
      <c r="N704" s="70"/>
      <c r="O704" s="78" t="s">
        <v>305</v>
      </c>
      <c r="P704" s="78" t="s">
        <v>526</v>
      </c>
      <c r="Q704" s="78" t="s">
        <v>1036</v>
      </c>
      <c r="R704" s="78" t="s">
        <v>1504</v>
      </c>
      <c r="S704" s="78"/>
      <c r="T704" s="78"/>
      <c r="U704" s="78"/>
      <c r="V704" s="78"/>
      <c r="W704" s="81" t="s">
        <v>1674</v>
      </c>
      <c r="X704" s="81" t="s">
        <v>1674</v>
      </c>
      <c r="Y704" s="78"/>
      <c r="Z704" s="78"/>
      <c r="AA704" s="81" t="s">
        <v>1674</v>
      </c>
      <c r="AB704" s="79">
        <v>54</v>
      </c>
      <c r="AC704" s="80" t="str">
        <f>REPLACE(INDEX(GroupVertices[Group],MATCH("~"&amp;Edges[[#This Row],[Vertex 1]],GroupVertices[Vertex],0)),1,1,"")</f>
        <v>2</v>
      </c>
      <c r="AD704" s="80" t="str">
        <f>REPLACE(INDEX(GroupVertices[Group],MATCH("~"&amp;Edges[[#This Row],[Vertex 2]],GroupVertices[Vertex],0)),1,1,"")</f>
        <v>2</v>
      </c>
      <c r="AE704" s="105"/>
      <c r="AF704" s="105"/>
      <c r="AG704" s="105"/>
      <c r="AH704" s="105"/>
      <c r="AI704" s="105"/>
      <c r="AJ704" s="105"/>
      <c r="AK704" s="105"/>
      <c r="AL704" s="105"/>
      <c r="AM704" s="105"/>
    </row>
    <row r="705" spans="1:39" ht="15">
      <c r="A705" s="62" t="s">
        <v>241</v>
      </c>
      <c r="B705" s="62" t="s">
        <v>249</v>
      </c>
      <c r="C705" s="63" t="s">
        <v>3610</v>
      </c>
      <c r="D705" s="64">
        <v>10</v>
      </c>
      <c r="E705" s="65" t="s">
        <v>136</v>
      </c>
      <c r="F705" s="66">
        <v>6</v>
      </c>
      <c r="G705" s="63"/>
      <c r="H705" s="67"/>
      <c r="I705" s="68"/>
      <c r="J705" s="68"/>
      <c r="K705" s="31" t="s">
        <v>65</v>
      </c>
      <c r="L705" s="76">
        <v>705</v>
      </c>
      <c r="M705" s="76"/>
      <c r="N705" s="70"/>
      <c r="O705" s="78" t="s">
        <v>305</v>
      </c>
      <c r="P705" s="78" t="s">
        <v>527</v>
      </c>
      <c r="Q705" s="78" t="s">
        <v>1037</v>
      </c>
      <c r="R705" s="78" t="s">
        <v>1505</v>
      </c>
      <c r="S705" s="78"/>
      <c r="T705" s="78"/>
      <c r="U705" s="78"/>
      <c r="V705" s="78"/>
      <c r="W705" s="81" t="s">
        <v>1674</v>
      </c>
      <c r="X705" s="81" t="s">
        <v>1674</v>
      </c>
      <c r="Y705" s="78"/>
      <c r="Z705" s="78"/>
      <c r="AA705" s="81" t="s">
        <v>1674</v>
      </c>
      <c r="AB705" s="79">
        <v>54</v>
      </c>
      <c r="AC705" s="80" t="str">
        <f>REPLACE(INDEX(GroupVertices[Group],MATCH("~"&amp;Edges[[#This Row],[Vertex 1]],GroupVertices[Vertex],0)),1,1,"")</f>
        <v>2</v>
      </c>
      <c r="AD705" s="80" t="str">
        <f>REPLACE(INDEX(GroupVertices[Group],MATCH("~"&amp;Edges[[#This Row],[Vertex 2]],GroupVertices[Vertex],0)),1,1,"")</f>
        <v>2</v>
      </c>
      <c r="AE705" s="105"/>
      <c r="AF705" s="105"/>
      <c r="AG705" s="105"/>
      <c r="AH705" s="105"/>
      <c r="AI705" s="105"/>
      <c r="AJ705" s="105"/>
      <c r="AK705" s="105"/>
      <c r="AL705" s="105"/>
      <c r="AM705" s="105"/>
    </row>
    <row r="706" spans="1:39" ht="15">
      <c r="A706" s="62" t="s">
        <v>241</v>
      </c>
      <c r="B706" s="62" t="s">
        <v>249</v>
      </c>
      <c r="C706" s="63" t="s">
        <v>3610</v>
      </c>
      <c r="D706" s="64">
        <v>10</v>
      </c>
      <c r="E706" s="65" t="s">
        <v>136</v>
      </c>
      <c r="F706" s="66">
        <v>6</v>
      </c>
      <c r="G706" s="63"/>
      <c r="H706" s="67"/>
      <c r="I706" s="68"/>
      <c r="J706" s="68"/>
      <c r="K706" s="31" t="s">
        <v>65</v>
      </c>
      <c r="L706" s="76">
        <v>706</v>
      </c>
      <c r="M706" s="76"/>
      <c r="N706" s="70"/>
      <c r="O706" s="78" t="s">
        <v>305</v>
      </c>
      <c r="P706" s="78" t="s">
        <v>527</v>
      </c>
      <c r="Q706" s="78" t="s">
        <v>1037</v>
      </c>
      <c r="R706" s="78" t="s">
        <v>1506</v>
      </c>
      <c r="S706" s="78"/>
      <c r="T706" s="78"/>
      <c r="U706" s="78"/>
      <c r="V706" s="78"/>
      <c r="W706" s="81" t="s">
        <v>1674</v>
      </c>
      <c r="X706" s="81" t="s">
        <v>1674</v>
      </c>
      <c r="Y706" s="78"/>
      <c r="Z706" s="78"/>
      <c r="AA706" s="81" t="s">
        <v>1674</v>
      </c>
      <c r="AB706" s="79">
        <v>54</v>
      </c>
      <c r="AC706" s="80" t="str">
        <f>REPLACE(INDEX(GroupVertices[Group],MATCH("~"&amp;Edges[[#This Row],[Vertex 1]],GroupVertices[Vertex],0)),1,1,"")</f>
        <v>2</v>
      </c>
      <c r="AD706" s="80" t="str">
        <f>REPLACE(INDEX(GroupVertices[Group],MATCH("~"&amp;Edges[[#This Row],[Vertex 2]],GroupVertices[Vertex],0)),1,1,"")</f>
        <v>2</v>
      </c>
      <c r="AE706" s="105"/>
      <c r="AF706" s="105"/>
      <c r="AG706" s="105"/>
      <c r="AH706" s="105"/>
      <c r="AI706" s="105"/>
      <c r="AJ706" s="105"/>
      <c r="AK706" s="105"/>
      <c r="AL706" s="105"/>
      <c r="AM706" s="105"/>
    </row>
    <row r="707" spans="1:39" ht="15">
      <c r="A707" s="62" t="s">
        <v>241</v>
      </c>
      <c r="B707" s="62" t="s">
        <v>249</v>
      </c>
      <c r="C707" s="63" t="s">
        <v>3610</v>
      </c>
      <c r="D707" s="64">
        <v>10</v>
      </c>
      <c r="E707" s="65" t="s">
        <v>136</v>
      </c>
      <c r="F707" s="66">
        <v>6</v>
      </c>
      <c r="G707" s="63"/>
      <c r="H707" s="67"/>
      <c r="I707" s="68"/>
      <c r="J707" s="68"/>
      <c r="K707" s="31" t="s">
        <v>65</v>
      </c>
      <c r="L707" s="76">
        <v>707</v>
      </c>
      <c r="M707" s="76"/>
      <c r="N707" s="70"/>
      <c r="O707" s="78" t="s">
        <v>305</v>
      </c>
      <c r="P707" s="78" t="s">
        <v>527</v>
      </c>
      <c r="Q707" s="78" t="s">
        <v>1037</v>
      </c>
      <c r="R707" s="78" t="s">
        <v>1507</v>
      </c>
      <c r="S707" s="78"/>
      <c r="T707" s="78"/>
      <c r="U707" s="78"/>
      <c r="V707" s="78"/>
      <c r="W707" s="81" t="s">
        <v>1674</v>
      </c>
      <c r="X707" s="81" t="s">
        <v>1674</v>
      </c>
      <c r="Y707" s="78"/>
      <c r="Z707" s="78"/>
      <c r="AA707" s="81" t="s">
        <v>1674</v>
      </c>
      <c r="AB707" s="79">
        <v>54</v>
      </c>
      <c r="AC707" s="80" t="str">
        <f>REPLACE(INDEX(GroupVertices[Group],MATCH("~"&amp;Edges[[#This Row],[Vertex 1]],GroupVertices[Vertex],0)),1,1,"")</f>
        <v>2</v>
      </c>
      <c r="AD707" s="80" t="str">
        <f>REPLACE(INDEX(GroupVertices[Group],MATCH("~"&amp;Edges[[#This Row],[Vertex 2]],GroupVertices[Vertex],0)),1,1,"")</f>
        <v>2</v>
      </c>
      <c r="AE707" s="105"/>
      <c r="AF707" s="105"/>
      <c r="AG707" s="105"/>
      <c r="AH707" s="105"/>
      <c r="AI707" s="105"/>
      <c r="AJ707" s="105"/>
      <c r="AK707" s="105"/>
      <c r="AL707" s="105"/>
      <c r="AM707" s="105"/>
    </row>
    <row r="708" spans="1:39" ht="15">
      <c r="A708" s="62" t="s">
        <v>241</v>
      </c>
      <c r="B708" s="62" t="s">
        <v>249</v>
      </c>
      <c r="C708" s="63" t="s">
        <v>3610</v>
      </c>
      <c r="D708" s="64">
        <v>10</v>
      </c>
      <c r="E708" s="65" t="s">
        <v>136</v>
      </c>
      <c r="F708" s="66">
        <v>6</v>
      </c>
      <c r="G708" s="63"/>
      <c r="H708" s="67"/>
      <c r="I708" s="68"/>
      <c r="J708" s="68"/>
      <c r="K708" s="31" t="s">
        <v>65</v>
      </c>
      <c r="L708" s="76">
        <v>708</v>
      </c>
      <c r="M708" s="76"/>
      <c r="N708" s="70"/>
      <c r="O708" s="78" t="s">
        <v>305</v>
      </c>
      <c r="P708" s="78" t="s">
        <v>527</v>
      </c>
      <c r="Q708" s="78" t="s">
        <v>1037</v>
      </c>
      <c r="R708" s="78" t="s">
        <v>1508</v>
      </c>
      <c r="S708" s="78"/>
      <c r="T708" s="78"/>
      <c r="U708" s="78"/>
      <c r="V708" s="78"/>
      <c r="W708" s="81" t="s">
        <v>1674</v>
      </c>
      <c r="X708" s="81" t="s">
        <v>1674</v>
      </c>
      <c r="Y708" s="78"/>
      <c r="Z708" s="78"/>
      <c r="AA708" s="81" t="s">
        <v>1674</v>
      </c>
      <c r="AB708" s="79">
        <v>54</v>
      </c>
      <c r="AC708" s="80" t="str">
        <f>REPLACE(INDEX(GroupVertices[Group],MATCH("~"&amp;Edges[[#This Row],[Vertex 1]],GroupVertices[Vertex],0)),1,1,"")</f>
        <v>2</v>
      </c>
      <c r="AD708" s="80" t="str">
        <f>REPLACE(INDEX(GroupVertices[Group],MATCH("~"&amp;Edges[[#This Row],[Vertex 2]],GroupVertices[Vertex],0)),1,1,"")</f>
        <v>2</v>
      </c>
      <c r="AE708" s="105"/>
      <c r="AF708" s="105"/>
      <c r="AG708" s="105"/>
      <c r="AH708" s="105"/>
      <c r="AI708" s="105"/>
      <c r="AJ708" s="105"/>
      <c r="AK708" s="105"/>
      <c r="AL708" s="105"/>
      <c r="AM708" s="105"/>
    </row>
    <row r="709" spans="1:39" ht="15">
      <c r="A709" s="62" t="s">
        <v>241</v>
      </c>
      <c r="B709" s="62" t="s">
        <v>249</v>
      </c>
      <c r="C709" s="63" t="s">
        <v>3610</v>
      </c>
      <c r="D709" s="64">
        <v>10</v>
      </c>
      <c r="E709" s="65" t="s">
        <v>136</v>
      </c>
      <c r="F709" s="66">
        <v>6</v>
      </c>
      <c r="G709" s="63"/>
      <c r="H709" s="67"/>
      <c r="I709" s="68"/>
      <c r="J709" s="68"/>
      <c r="K709" s="31" t="s">
        <v>65</v>
      </c>
      <c r="L709" s="76">
        <v>709</v>
      </c>
      <c r="M709" s="76"/>
      <c r="N709" s="70"/>
      <c r="O709" s="78" t="s">
        <v>305</v>
      </c>
      <c r="P709" s="78" t="s">
        <v>522</v>
      </c>
      <c r="Q709" s="78" t="s">
        <v>1029</v>
      </c>
      <c r="R709" s="78" t="s">
        <v>1172</v>
      </c>
      <c r="S709" s="78"/>
      <c r="T709" s="78"/>
      <c r="U709" s="78"/>
      <c r="V709" s="78"/>
      <c r="W709" s="81" t="s">
        <v>1674</v>
      </c>
      <c r="X709" s="81" t="s">
        <v>1674</v>
      </c>
      <c r="Y709" s="78"/>
      <c r="Z709" s="78"/>
      <c r="AA709" s="81" t="s">
        <v>1674</v>
      </c>
      <c r="AB709" s="79">
        <v>54</v>
      </c>
      <c r="AC709" s="80" t="str">
        <f>REPLACE(INDEX(GroupVertices[Group],MATCH("~"&amp;Edges[[#This Row],[Vertex 1]],GroupVertices[Vertex],0)),1,1,"")</f>
        <v>2</v>
      </c>
      <c r="AD709" s="80" t="str">
        <f>REPLACE(INDEX(GroupVertices[Group],MATCH("~"&amp;Edges[[#This Row],[Vertex 2]],GroupVertices[Vertex],0)),1,1,"")</f>
        <v>2</v>
      </c>
      <c r="AE709" s="105"/>
      <c r="AF709" s="105"/>
      <c r="AG709" s="105"/>
      <c r="AH709" s="105"/>
      <c r="AI709" s="105"/>
      <c r="AJ709" s="105"/>
      <c r="AK709" s="105"/>
      <c r="AL709" s="105"/>
      <c r="AM709" s="105"/>
    </row>
    <row r="710" spans="1:39" ht="15">
      <c r="A710" s="62" t="s">
        <v>241</v>
      </c>
      <c r="B710" s="62" t="s">
        <v>249</v>
      </c>
      <c r="C710" s="63" t="s">
        <v>3610</v>
      </c>
      <c r="D710" s="64">
        <v>10</v>
      </c>
      <c r="E710" s="65" t="s">
        <v>136</v>
      </c>
      <c r="F710" s="66">
        <v>6</v>
      </c>
      <c r="G710" s="63"/>
      <c r="H710" s="67"/>
      <c r="I710" s="68"/>
      <c r="J710" s="68"/>
      <c r="K710" s="31" t="s">
        <v>65</v>
      </c>
      <c r="L710" s="76">
        <v>710</v>
      </c>
      <c r="M710" s="76"/>
      <c r="N710" s="70"/>
      <c r="O710" s="78" t="s">
        <v>305</v>
      </c>
      <c r="P710" s="78" t="s">
        <v>522</v>
      </c>
      <c r="Q710" s="78" t="s">
        <v>1029</v>
      </c>
      <c r="R710" s="78" t="s">
        <v>1173</v>
      </c>
      <c r="S710" s="78"/>
      <c r="T710" s="78"/>
      <c r="U710" s="78"/>
      <c r="V710" s="78"/>
      <c r="W710" s="81" t="s">
        <v>1674</v>
      </c>
      <c r="X710" s="81" t="s">
        <v>1674</v>
      </c>
      <c r="Y710" s="78"/>
      <c r="Z710" s="78"/>
      <c r="AA710" s="81" t="s">
        <v>1674</v>
      </c>
      <c r="AB710" s="79">
        <v>54</v>
      </c>
      <c r="AC710" s="80" t="str">
        <f>REPLACE(INDEX(GroupVertices[Group],MATCH("~"&amp;Edges[[#This Row],[Vertex 1]],GroupVertices[Vertex],0)),1,1,"")</f>
        <v>2</v>
      </c>
      <c r="AD710" s="80" t="str">
        <f>REPLACE(INDEX(GroupVertices[Group],MATCH("~"&amp;Edges[[#This Row],[Vertex 2]],GroupVertices[Vertex],0)),1,1,"")</f>
        <v>2</v>
      </c>
      <c r="AE710" s="105"/>
      <c r="AF710" s="105"/>
      <c r="AG710" s="105"/>
      <c r="AH710" s="105"/>
      <c r="AI710" s="105"/>
      <c r="AJ710" s="105"/>
      <c r="AK710" s="105"/>
      <c r="AL710" s="105"/>
      <c r="AM710" s="105"/>
    </row>
    <row r="711" spans="1:39" ht="15">
      <c r="A711" s="62" t="s">
        <v>241</v>
      </c>
      <c r="B711" s="62" t="s">
        <v>249</v>
      </c>
      <c r="C711" s="63" t="s">
        <v>3610</v>
      </c>
      <c r="D711" s="64">
        <v>10</v>
      </c>
      <c r="E711" s="65" t="s">
        <v>136</v>
      </c>
      <c r="F711" s="66">
        <v>6</v>
      </c>
      <c r="G711" s="63"/>
      <c r="H711" s="67"/>
      <c r="I711" s="68"/>
      <c r="J711" s="68"/>
      <c r="K711" s="31" t="s">
        <v>65</v>
      </c>
      <c r="L711" s="76">
        <v>711</v>
      </c>
      <c r="M711" s="76"/>
      <c r="N711" s="70"/>
      <c r="O711" s="78" t="s">
        <v>305</v>
      </c>
      <c r="P711" s="78" t="s">
        <v>522</v>
      </c>
      <c r="Q711" s="78" t="s">
        <v>1029</v>
      </c>
      <c r="R711" s="78" t="s">
        <v>1174</v>
      </c>
      <c r="S711" s="78"/>
      <c r="T711" s="78"/>
      <c r="U711" s="78"/>
      <c r="V711" s="78"/>
      <c r="W711" s="81" t="s">
        <v>1674</v>
      </c>
      <c r="X711" s="81" t="s">
        <v>1674</v>
      </c>
      <c r="Y711" s="78"/>
      <c r="Z711" s="78"/>
      <c r="AA711" s="81" t="s">
        <v>1674</v>
      </c>
      <c r="AB711" s="79">
        <v>54</v>
      </c>
      <c r="AC711" s="80" t="str">
        <f>REPLACE(INDEX(GroupVertices[Group],MATCH("~"&amp;Edges[[#This Row],[Vertex 1]],GroupVertices[Vertex],0)),1,1,"")</f>
        <v>2</v>
      </c>
      <c r="AD711" s="80" t="str">
        <f>REPLACE(INDEX(GroupVertices[Group],MATCH("~"&amp;Edges[[#This Row],[Vertex 2]],GroupVertices[Vertex],0)),1,1,"")</f>
        <v>2</v>
      </c>
      <c r="AE711" s="105"/>
      <c r="AF711" s="105"/>
      <c r="AG711" s="105"/>
      <c r="AH711" s="105"/>
      <c r="AI711" s="105"/>
      <c r="AJ711" s="105"/>
      <c r="AK711" s="105"/>
      <c r="AL711" s="105"/>
      <c r="AM711" s="105"/>
    </row>
    <row r="712" spans="1:39" ht="15">
      <c r="A712" s="62" t="s">
        <v>241</v>
      </c>
      <c r="B712" s="62" t="s">
        <v>249</v>
      </c>
      <c r="C712" s="63" t="s">
        <v>3610</v>
      </c>
      <c r="D712" s="64">
        <v>10</v>
      </c>
      <c r="E712" s="65" t="s">
        <v>136</v>
      </c>
      <c r="F712" s="66">
        <v>6</v>
      </c>
      <c r="G712" s="63"/>
      <c r="H712" s="67"/>
      <c r="I712" s="68"/>
      <c r="J712" s="68"/>
      <c r="K712" s="31" t="s">
        <v>65</v>
      </c>
      <c r="L712" s="76">
        <v>712</v>
      </c>
      <c r="M712" s="76"/>
      <c r="N712" s="70"/>
      <c r="O712" s="78" t="s">
        <v>305</v>
      </c>
      <c r="P712" s="78" t="s">
        <v>522</v>
      </c>
      <c r="Q712" s="78" t="s">
        <v>1029</v>
      </c>
      <c r="R712" s="78" t="s">
        <v>1175</v>
      </c>
      <c r="S712" s="78"/>
      <c r="T712" s="78"/>
      <c r="U712" s="78"/>
      <c r="V712" s="78"/>
      <c r="W712" s="81" t="s">
        <v>1674</v>
      </c>
      <c r="X712" s="81" t="s">
        <v>1674</v>
      </c>
      <c r="Y712" s="78"/>
      <c r="Z712" s="78"/>
      <c r="AA712" s="81" t="s">
        <v>1674</v>
      </c>
      <c r="AB712" s="79">
        <v>54</v>
      </c>
      <c r="AC712" s="80" t="str">
        <f>REPLACE(INDEX(GroupVertices[Group],MATCH("~"&amp;Edges[[#This Row],[Vertex 1]],GroupVertices[Vertex],0)),1,1,"")</f>
        <v>2</v>
      </c>
      <c r="AD712" s="80" t="str">
        <f>REPLACE(INDEX(GroupVertices[Group],MATCH("~"&amp;Edges[[#This Row],[Vertex 2]],GroupVertices[Vertex],0)),1,1,"")</f>
        <v>2</v>
      </c>
      <c r="AE712" s="105"/>
      <c r="AF712" s="105"/>
      <c r="AG712" s="105"/>
      <c r="AH712" s="105"/>
      <c r="AI712" s="105"/>
      <c r="AJ712" s="105"/>
      <c r="AK712" s="105"/>
      <c r="AL712" s="105"/>
      <c r="AM712" s="105"/>
    </row>
    <row r="713" spans="1:39" ht="15">
      <c r="A713" s="62" t="s">
        <v>241</v>
      </c>
      <c r="B713" s="62" t="s">
        <v>249</v>
      </c>
      <c r="C713" s="63" t="s">
        <v>3610</v>
      </c>
      <c r="D713" s="64">
        <v>10</v>
      </c>
      <c r="E713" s="65" t="s">
        <v>136</v>
      </c>
      <c r="F713" s="66">
        <v>6</v>
      </c>
      <c r="G713" s="63"/>
      <c r="H713" s="67"/>
      <c r="I713" s="68"/>
      <c r="J713" s="68"/>
      <c r="K713" s="31" t="s">
        <v>65</v>
      </c>
      <c r="L713" s="76">
        <v>713</v>
      </c>
      <c r="M713" s="76"/>
      <c r="N713" s="70"/>
      <c r="O713" s="78" t="s">
        <v>305</v>
      </c>
      <c r="P713" s="78" t="s">
        <v>522</v>
      </c>
      <c r="Q713" s="78" t="s">
        <v>1029</v>
      </c>
      <c r="R713" s="78" t="s">
        <v>1176</v>
      </c>
      <c r="S713" s="78"/>
      <c r="T713" s="78"/>
      <c r="U713" s="78"/>
      <c r="V713" s="78"/>
      <c r="W713" s="81" t="s">
        <v>1674</v>
      </c>
      <c r="X713" s="81" t="s">
        <v>1674</v>
      </c>
      <c r="Y713" s="78"/>
      <c r="Z713" s="78"/>
      <c r="AA713" s="81" t="s">
        <v>1674</v>
      </c>
      <c r="AB713" s="79">
        <v>54</v>
      </c>
      <c r="AC713" s="80" t="str">
        <f>REPLACE(INDEX(GroupVertices[Group],MATCH("~"&amp;Edges[[#This Row],[Vertex 1]],GroupVertices[Vertex],0)),1,1,"")</f>
        <v>2</v>
      </c>
      <c r="AD713" s="80" t="str">
        <f>REPLACE(INDEX(GroupVertices[Group],MATCH("~"&amp;Edges[[#This Row],[Vertex 2]],GroupVertices[Vertex],0)),1,1,"")</f>
        <v>2</v>
      </c>
      <c r="AE713" s="105"/>
      <c r="AF713" s="105"/>
      <c r="AG713" s="105"/>
      <c r="AH713" s="105"/>
      <c r="AI713" s="105"/>
      <c r="AJ713" s="105"/>
      <c r="AK713" s="105"/>
      <c r="AL713" s="105"/>
      <c r="AM713" s="105"/>
    </row>
    <row r="714" spans="1:39" ht="15">
      <c r="A714" s="62" t="s">
        <v>241</v>
      </c>
      <c r="B714" s="62" t="s">
        <v>249</v>
      </c>
      <c r="C714" s="63" t="s">
        <v>3610</v>
      </c>
      <c r="D714" s="64">
        <v>10</v>
      </c>
      <c r="E714" s="65" t="s">
        <v>136</v>
      </c>
      <c r="F714" s="66">
        <v>6</v>
      </c>
      <c r="G714" s="63"/>
      <c r="H714" s="67"/>
      <c r="I714" s="68"/>
      <c r="J714" s="68"/>
      <c r="K714" s="31" t="s">
        <v>65</v>
      </c>
      <c r="L714" s="76">
        <v>714</v>
      </c>
      <c r="M714" s="76"/>
      <c r="N714" s="70"/>
      <c r="O714" s="78" t="s">
        <v>305</v>
      </c>
      <c r="P714" s="78" t="s">
        <v>522</v>
      </c>
      <c r="Q714" s="78" t="s">
        <v>1029</v>
      </c>
      <c r="R714" s="78" t="s">
        <v>1177</v>
      </c>
      <c r="S714" s="78"/>
      <c r="T714" s="78"/>
      <c r="U714" s="78"/>
      <c r="V714" s="78"/>
      <c r="W714" s="81" t="s">
        <v>1674</v>
      </c>
      <c r="X714" s="81" t="s">
        <v>1674</v>
      </c>
      <c r="Y714" s="78"/>
      <c r="Z714" s="78"/>
      <c r="AA714" s="81" t="s">
        <v>1674</v>
      </c>
      <c r="AB714" s="79">
        <v>54</v>
      </c>
      <c r="AC714" s="80" t="str">
        <f>REPLACE(INDEX(GroupVertices[Group],MATCH("~"&amp;Edges[[#This Row],[Vertex 1]],GroupVertices[Vertex],0)),1,1,"")</f>
        <v>2</v>
      </c>
      <c r="AD714" s="80" t="str">
        <f>REPLACE(INDEX(GroupVertices[Group],MATCH("~"&amp;Edges[[#This Row],[Vertex 2]],GroupVertices[Vertex],0)),1,1,"")</f>
        <v>2</v>
      </c>
      <c r="AE714" s="105"/>
      <c r="AF714" s="105"/>
      <c r="AG714" s="105"/>
      <c r="AH714" s="105"/>
      <c r="AI714" s="105"/>
      <c r="AJ714" s="105"/>
      <c r="AK714" s="105"/>
      <c r="AL714" s="105"/>
      <c r="AM714" s="105"/>
    </row>
    <row r="715" spans="1:39" ht="15">
      <c r="A715" s="62" t="s">
        <v>241</v>
      </c>
      <c r="B715" s="62" t="s">
        <v>249</v>
      </c>
      <c r="C715" s="63" t="s">
        <v>3610</v>
      </c>
      <c r="D715" s="64">
        <v>10</v>
      </c>
      <c r="E715" s="65" t="s">
        <v>136</v>
      </c>
      <c r="F715" s="66">
        <v>6</v>
      </c>
      <c r="G715" s="63"/>
      <c r="H715" s="67"/>
      <c r="I715" s="68"/>
      <c r="J715" s="68"/>
      <c r="K715" s="31" t="s">
        <v>65</v>
      </c>
      <c r="L715" s="76">
        <v>715</v>
      </c>
      <c r="M715" s="76"/>
      <c r="N715" s="70"/>
      <c r="O715" s="78" t="s">
        <v>305</v>
      </c>
      <c r="P715" s="78" t="s">
        <v>522</v>
      </c>
      <c r="Q715" s="78" t="s">
        <v>1029</v>
      </c>
      <c r="R715" s="78" t="s">
        <v>1181</v>
      </c>
      <c r="S715" s="78"/>
      <c r="T715" s="78"/>
      <c r="U715" s="78"/>
      <c r="V715" s="78"/>
      <c r="W715" s="81" t="s">
        <v>1674</v>
      </c>
      <c r="X715" s="81" t="s">
        <v>1674</v>
      </c>
      <c r="Y715" s="78"/>
      <c r="Z715" s="78"/>
      <c r="AA715" s="81" t="s">
        <v>1674</v>
      </c>
      <c r="AB715" s="79">
        <v>54</v>
      </c>
      <c r="AC715" s="80" t="str">
        <f>REPLACE(INDEX(GroupVertices[Group],MATCH("~"&amp;Edges[[#This Row],[Vertex 1]],GroupVertices[Vertex],0)),1,1,"")</f>
        <v>2</v>
      </c>
      <c r="AD715" s="80" t="str">
        <f>REPLACE(INDEX(GroupVertices[Group],MATCH("~"&amp;Edges[[#This Row],[Vertex 2]],GroupVertices[Vertex],0)),1,1,"")</f>
        <v>2</v>
      </c>
      <c r="AE715" s="105"/>
      <c r="AF715" s="105"/>
      <c r="AG715" s="105"/>
      <c r="AH715" s="105"/>
      <c r="AI715" s="105"/>
      <c r="AJ715" s="105"/>
      <c r="AK715" s="105"/>
      <c r="AL715" s="105"/>
      <c r="AM715" s="105"/>
    </row>
    <row r="716" spans="1:39" ht="15">
      <c r="A716" s="62" t="s">
        <v>241</v>
      </c>
      <c r="B716" s="62" t="s">
        <v>249</v>
      </c>
      <c r="C716" s="63" t="s">
        <v>3610</v>
      </c>
      <c r="D716" s="64">
        <v>10</v>
      </c>
      <c r="E716" s="65" t="s">
        <v>136</v>
      </c>
      <c r="F716" s="66">
        <v>6</v>
      </c>
      <c r="G716" s="63"/>
      <c r="H716" s="67"/>
      <c r="I716" s="68"/>
      <c r="J716" s="68"/>
      <c r="K716" s="31" t="s">
        <v>65</v>
      </c>
      <c r="L716" s="76">
        <v>716</v>
      </c>
      <c r="M716" s="76"/>
      <c r="N716" s="70"/>
      <c r="O716" s="78" t="s">
        <v>305</v>
      </c>
      <c r="P716" s="78" t="s">
        <v>522</v>
      </c>
      <c r="Q716" s="78" t="s">
        <v>1030</v>
      </c>
      <c r="R716" s="78" t="s">
        <v>1172</v>
      </c>
      <c r="S716" s="78"/>
      <c r="T716" s="78"/>
      <c r="U716" s="78"/>
      <c r="V716" s="78"/>
      <c r="W716" s="81" t="s">
        <v>1674</v>
      </c>
      <c r="X716" s="81" t="s">
        <v>1674</v>
      </c>
      <c r="Y716" s="78"/>
      <c r="Z716" s="78"/>
      <c r="AA716" s="81" t="s">
        <v>1674</v>
      </c>
      <c r="AB716" s="79">
        <v>54</v>
      </c>
      <c r="AC716" s="80" t="str">
        <f>REPLACE(INDEX(GroupVertices[Group],MATCH("~"&amp;Edges[[#This Row],[Vertex 1]],GroupVertices[Vertex],0)),1,1,"")</f>
        <v>2</v>
      </c>
      <c r="AD716" s="80" t="str">
        <f>REPLACE(INDEX(GroupVertices[Group],MATCH("~"&amp;Edges[[#This Row],[Vertex 2]],GroupVertices[Vertex],0)),1,1,"")</f>
        <v>2</v>
      </c>
      <c r="AE716" s="105"/>
      <c r="AF716" s="105"/>
      <c r="AG716" s="105"/>
      <c r="AH716" s="105"/>
      <c r="AI716" s="105"/>
      <c r="AJ716" s="105"/>
      <c r="AK716" s="105"/>
      <c r="AL716" s="105"/>
      <c r="AM716" s="105"/>
    </row>
    <row r="717" spans="1:39" ht="15">
      <c r="A717" s="62" t="s">
        <v>241</v>
      </c>
      <c r="B717" s="62" t="s">
        <v>249</v>
      </c>
      <c r="C717" s="63" t="s">
        <v>3610</v>
      </c>
      <c r="D717" s="64">
        <v>10</v>
      </c>
      <c r="E717" s="65" t="s">
        <v>136</v>
      </c>
      <c r="F717" s="66">
        <v>6</v>
      </c>
      <c r="G717" s="63"/>
      <c r="H717" s="67"/>
      <c r="I717" s="68"/>
      <c r="J717" s="68"/>
      <c r="K717" s="31" t="s">
        <v>65</v>
      </c>
      <c r="L717" s="76">
        <v>717</v>
      </c>
      <c r="M717" s="76"/>
      <c r="N717" s="70"/>
      <c r="O717" s="78" t="s">
        <v>305</v>
      </c>
      <c r="P717" s="78" t="s">
        <v>522</v>
      </c>
      <c r="Q717" s="78" t="s">
        <v>1030</v>
      </c>
      <c r="R717" s="78" t="s">
        <v>1173</v>
      </c>
      <c r="S717" s="78"/>
      <c r="T717" s="78"/>
      <c r="U717" s="78"/>
      <c r="V717" s="78"/>
      <c r="W717" s="81" t="s">
        <v>1674</v>
      </c>
      <c r="X717" s="81" t="s">
        <v>1674</v>
      </c>
      <c r="Y717" s="78"/>
      <c r="Z717" s="78"/>
      <c r="AA717" s="81" t="s">
        <v>1674</v>
      </c>
      <c r="AB717" s="79">
        <v>54</v>
      </c>
      <c r="AC717" s="80" t="str">
        <f>REPLACE(INDEX(GroupVertices[Group],MATCH("~"&amp;Edges[[#This Row],[Vertex 1]],GroupVertices[Vertex],0)),1,1,"")</f>
        <v>2</v>
      </c>
      <c r="AD717" s="80" t="str">
        <f>REPLACE(INDEX(GroupVertices[Group],MATCH("~"&amp;Edges[[#This Row],[Vertex 2]],GroupVertices[Vertex],0)),1,1,"")</f>
        <v>2</v>
      </c>
      <c r="AE717" s="105"/>
      <c r="AF717" s="105"/>
      <c r="AG717" s="105"/>
      <c r="AH717" s="105"/>
      <c r="AI717" s="105"/>
      <c r="AJ717" s="105"/>
      <c r="AK717" s="105"/>
      <c r="AL717" s="105"/>
      <c r="AM717" s="105"/>
    </row>
    <row r="718" spans="1:39" ht="15">
      <c r="A718" s="62" t="s">
        <v>241</v>
      </c>
      <c r="B718" s="62" t="s">
        <v>249</v>
      </c>
      <c r="C718" s="63" t="s">
        <v>3610</v>
      </c>
      <c r="D718" s="64">
        <v>10</v>
      </c>
      <c r="E718" s="65" t="s">
        <v>136</v>
      </c>
      <c r="F718" s="66">
        <v>6</v>
      </c>
      <c r="G718" s="63"/>
      <c r="H718" s="67"/>
      <c r="I718" s="68"/>
      <c r="J718" s="68"/>
      <c r="K718" s="31" t="s">
        <v>65</v>
      </c>
      <c r="L718" s="76">
        <v>718</v>
      </c>
      <c r="M718" s="76"/>
      <c r="N718" s="70"/>
      <c r="O718" s="78" t="s">
        <v>305</v>
      </c>
      <c r="P718" s="78" t="s">
        <v>522</v>
      </c>
      <c r="Q718" s="78" t="s">
        <v>1030</v>
      </c>
      <c r="R718" s="78" t="s">
        <v>1174</v>
      </c>
      <c r="S718" s="78"/>
      <c r="T718" s="78"/>
      <c r="U718" s="78"/>
      <c r="V718" s="78"/>
      <c r="W718" s="81" t="s">
        <v>1674</v>
      </c>
      <c r="X718" s="81" t="s">
        <v>1674</v>
      </c>
      <c r="Y718" s="78"/>
      <c r="Z718" s="78"/>
      <c r="AA718" s="81" t="s">
        <v>1674</v>
      </c>
      <c r="AB718" s="79">
        <v>54</v>
      </c>
      <c r="AC718" s="80" t="str">
        <f>REPLACE(INDEX(GroupVertices[Group],MATCH("~"&amp;Edges[[#This Row],[Vertex 1]],GroupVertices[Vertex],0)),1,1,"")</f>
        <v>2</v>
      </c>
      <c r="AD718" s="80" t="str">
        <f>REPLACE(INDEX(GroupVertices[Group],MATCH("~"&amp;Edges[[#This Row],[Vertex 2]],GroupVertices[Vertex],0)),1,1,"")</f>
        <v>2</v>
      </c>
      <c r="AE718" s="105"/>
      <c r="AF718" s="105"/>
      <c r="AG718" s="105"/>
      <c r="AH718" s="105"/>
      <c r="AI718" s="105"/>
      <c r="AJ718" s="105"/>
      <c r="AK718" s="105"/>
      <c r="AL718" s="105"/>
      <c r="AM718" s="105"/>
    </row>
    <row r="719" spans="1:39" ht="15">
      <c r="A719" s="62" t="s">
        <v>241</v>
      </c>
      <c r="B719" s="62" t="s">
        <v>249</v>
      </c>
      <c r="C719" s="63" t="s">
        <v>3610</v>
      </c>
      <c r="D719" s="64">
        <v>10</v>
      </c>
      <c r="E719" s="65" t="s">
        <v>136</v>
      </c>
      <c r="F719" s="66">
        <v>6</v>
      </c>
      <c r="G719" s="63"/>
      <c r="H719" s="67"/>
      <c r="I719" s="68"/>
      <c r="J719" s="68"/>
      <c r="K719" s="31" t="s">
        <v>65</v>
      </c>
      <c r="L719" s="76">
        <v>719</v>
      </c>
      <c r="M719" s="76"/>
      <c r="N719" s="70"/>
      <c r="O719" s="78" t="s">
        <v>305</v>
      </c>
      <c r="P719" s="78" t="s">
        <v>522</v>
      </c>
      <c r="Q719" s="78" t="s">
        <v>1030</v>
      </c>
      <c r="R719" s="78" t="s">
        <v>1175</v>
      </c>
      <c r="S719" s="78"/>
      <c r="T719" s="78"/>
      <c r="U719" s="78"/>
      <c r="V719" s="78"/>
      <c r="W719" s="81" t="s">
        <v>1674</v>
      </c>
      <c r="X719" s="81" t="s">
        <v>1674</v>
      </c>
      <c r="Y719" s="78"/>
      <c r="Z719" s="78"/>
      <c r="AA719" s="81" t="s">
        <v>1674</v>
      </c>
      <c r="AB719" s="79">
        <v>54</v>
      </c>
      <c r="AC719" s="80" t="str">
        <f>REPLACE(INDEX(GroupVertices[Group],MATCH("~"&amp;Edges[[#This Row],[Vertex 1]],GroupVertices[Vertex],0)),1,1,"")</f>
        <v>2</v>
      </c>
      <c r="AD719" s="80" t="str">
        <f>REPLACE(INDEX(GroupVertices[Group],MATCH("~"&amp;Edges[[#This Row],[Vertex 2]],GroupVertices[Vertex],0)),1,1,"")</f>
        <v>2</v>
      </c>
      <c r="AE719" s="105"/>
      <c r="AF719" s="105"/>
      <c r="AG719" s="105"/>
      <c r="AH719" s="105"/>
      <c r="AI719" s="105"/>
      <c r="AJ719" s="105"/>
      <c r="AK719" s="105"/>
      <c r="AL719" s="105"/>
      <c r="AM719" s="105"/>
    </row>
    <row r="720" spans="1:39" ht="15">
      <c r="A720" s="62" t="s">
        <v>241</v>
      </c>
      <c r="B720" s="62" t="s">
        <v>249</v>
      </c>
      <c r="C720" s="63" t="s">
        <v>3610</v>
      </c>
      <c r="D720" s="64">
        <v>10</v>
      </c>
      <c r="E720" s="65" t="s">
        <v>136</v>
      </c>
      <c r="F720" s="66">
        <v>6</v>
      </c>
      <c r="G720" s="63"/>
      <c r="H720" s="67"/>
      <c r="I720" s="68"/>
      <c r="J720" s="68"/>
      <c r="K720" s="31" t="s">
        <v>65</v>
      </c>
      <c r="L720" s="76">
        <v>720</v>
      </c>
      <c r="M720" s="76"/>
      <c r="N720" s="70"/>
      <c r="O720" s="78" t="s">
        <v>305</v>
      </c>
      <c r="P720" s="78" t="s">
        <v>522</v>
      </c>
      <c r="Q720" s="78" t="s">
        <v>1030</v>
      </c>
      <c r="R720" s="78" t="s">
        <v>1176</v>
      </c>
      <c r="S720" s="78"/>
      <c r="T720" s="78"/>
      <c r="U720" s="78"/>
      <c r="V720" s="78"/>
      <c r="W720" s="81" t="s">
        <v>1674</v>
      </c>
      <c r="X720" s="81" t="s">
        <v>1674</v>
      </c>
      <c r="Y720" s="78"/>
      <c r="Z720" s="78"/>
      <c r="AA720" s="81" t="s">
        <v>1674</v>
      </c>
      <c r="AB720" s="79">
        <v>54</v>
      </c>
      <c r="AC720" s="80" t="str">
        <f>REPLACE(INDEX(GroupVertices[Group],MATCH("~"&amp;Edges[[#This Row],[Vertex 1]],GroupVertices[Vertex],0)),1,1,"")</f>
        <v>2</v>
      </c>
      <c r="AD720" s="80" t="str">
        <f>REPLACE(INDEX(GroupVertices[Group],MATCH("~"&amp;Edges[[#This Row],[Vertex 2]],GroupVertices[Vertex],0)),1,1,"")</f>
        <v>2</v>
      </c>
      <c r="AE720" s="105"/>
      <c r="AF720" s="105"/>
      <c r="AG720" s="105"/>
      <c r="AH720" s="105"/>
      <c r="AI720" s="105"/>
      <c r="AJ720" s="105"/>
      <c r="AK720" s="105"/>
      <c r="AL720" s="105"/>
      <c r="AM720" s="105"/>
    </row>
    <row r="721" spans="1:39" ht="15">
      <c r="A721" s="62" t="s">
        <v>241</v>
      </c>
      <c r="B721" s="62" t="s">
        <v>249</v>
      </c>
      <c r="C721" s="63" t="s">
        <v>3610</v>
      </c>
      <c r="D721" s="64">
        <v>10</v>
      </c>
      <c r="E721" s="65" t="s">
        <v>136</v>
      </c>
      <c r="F721" s="66">
        <v>6</v>
      </c>
      <c r="G721" s="63"/>
      <c r="H721" s="67"/>
      <c r="I721" s="68"/>
      <c r="J721" s="68"/>
      <c r="K721" s="31" t="s">
        <v>65</v>
      </c>
      <c r="L721" s="76">
        <v>721</v>
      </c>
      <c r="M721" s="76"/>
      <c r="N721" s="70"/>
      <c r="O721" s="78" t="s">
        <v>305</v>
      </c>
      <c r="P721" s="78" t="s">
        <v>522</v>
      </c>
      <c r="Q721" s="78" t="s">
        <v>1030</v>
      </c>
      <c r="R721" s="78" t="s">
        <v>1177</v>
      </c>
      <c r="S721" s="78"/>
      <c r="T721" s="78"/>
      <c r="U721" s="78"/>
      <c r="V721" s="78"/>
      <c r="W721" s="81" t="s">
        <v>1674</v>
      </c>
      <c r="X721" s="81" t="s">
        <v>1674</v>
      </c>
      <c r="Y721" s="78"/>
      <c r="Z721" s="78"/>
      <c r="AA721" s="81" t="s">
        <v>1674</v>
      </c>
      <c r="AB721" s="79">
        <v>54</v>
      </c>
      <c r="AC721" s="80" t="str">
        <f>REPLACE(INDEX(GroupVertices[Group],MATCH("~"&amp;Edges[[#This Row],[Vertex 1]],GroupVertices[Vertex],0)),1,1,"")</f>
        <v>2</v>
      </c>
      <c r="AD721" s="80" t="str">
        <f>REPLACE(INDEX(GroupVertices[Group],MATCH("~"&amp;Edges[[#This Row],[Vertex 2]],GroupVertices[Vertex],0)),1,1,"")</f>
        <v>2</v>
      </c>
      <c r="AE721" s="105"/>
      <c r="AF721" s="105"/>
      <c r="AG721" s="105"/>
      <c r="AH721" s="105"/>
      <c r="AI721" s="105"/>
      <c r="AJ721" s="105"/>
      <c r="AK721" s="105"/>
      <c r="AL721" s="105"/>
      <c r="AM721" s="105"/>
    </row>
    <row r="722" spans="1:39" ht="15">
      <c r="A722" s="62" t="s">
        <v>241</v>
      </c>
      <c r="B722" s="62" t="s">
        <v>249</v>
      </c>
      <c r="C722" s="63" t="s">
        <v>3610</v>
      </c>
      <c r="D722" s="64">
        <v>10</v>
      </c>
      <c r="E722" s="65" t="s">
        <v>136</v>
      </c>
      <c r="F722" s="66">
        <v>6</v>
      </c>
      <c r="G722" s="63"/>
      <c r="H722" s="67"/>
      <c r="I722" s="68"/>
      <c r="J722" s="68"/>
      <c r="K722" s="31" t="s">
        <v>65</v>
      </c>
      <c r="L722" s="76">
        <v>722</v>
      </c>
      <c r="M722" s="76"/>
      <c r="N722" s="70"/>
      <c r="O722" s="78" t="s">
        <v>305</v>
      </c>
      <c r="P722" s="78" t="s">
        <v>522</v>
      </c>
      <c r="Q722" s="78" t="s">
        <v>1030</v>
      </c>
      <c r="R722" s="78" t="s">
        <v>1181</v>
      </c>
      <c r="S722" s="78"/>
      <c r="T722" s="78"/>
      <c r="U722" s="78"/>
      <c r="V722" s="78"/>
      <c r="W722" s="81" t="s">
        <v>1674</v>
      </c>
      <c r="X722" s="81" t="s">
        <v>1674</v>
      </c>
      <c r="Y722" s="78"/>
      <c r="Z722" s="78"/>
      <c r="AA722" s="81" t="s">
        <v>1674</v>
      </c>
      <c r="AB722" s="79">
        <v>54</v>
      </c>
      <c r="AC722" s="80" t="str">
        <f>REPLACE(INDEX(GroupVertices[Group],MATCH("~"&amp;Edges[[#This Row],[Vertex 1]],GroupVertices[Vertex],0)),1,1,"")</f>
        <v>2</v>
      </c>
      <c r="AD722" s="80" t="str">
        <f>REPLACE(INDEX(GroupVertices[Group],MATCH("~"&amp;Edges[[#This Row],[Vertex 2]],GroupVertices[Vertex],0)),1,1,"")</f>
        <v>2</v>
      </c>
      <c r="AE722" s="105"/>
      <c r="AF722" s="105"/>
      <c r="AG722" s="105"/>
      <c r="AH722" s="105"/>
      <c r="AI722" s="105"/>
      <c r="AJ722" s="105"/>
      <c r="AK722" s="105"/>
      <c r="AL722" s="105"/>
      <c r="AM722" s="105"/>
    </row>
    <row r="723" spans="1:39" ht="15">
      <c r="A723" s="62" t="s">
        <v>241</v>
      </c>
      <c r="B723" s="62" t="s">
        <v>249</v>
      </c>
      <c r="C723" s="63" t="s">
        <v>3610</v>
      </c>
      <c r="D723" s="64">
        <v>10</v>
      </c>
      <c r="E723" s="65" t="s">
        <v>136</v>
      </c>
      <c r="F723" s="66">
        <v>6</v>
      </c>
      <c r="G723" s="63"/>
      <c r="H723" s="67"/>
      <c r="I723" s="68"/>
      <c r="J723" s="68"/>
      <c r="K723" s="31" t="s">
        <v>65</v>
      </c>
      <c r="L723" s="76">
        <v>723</v>
      </c>
      <c r="M723" s="76"/>
      <c r="N723" s="70"/>
      <c r="O723" s="78" t="s">
        <v>305</v>
      </c>
      <c r="P723" s="78" t="s">
        <v>526</v>
      </c>
      <c r="Q723" s="78" t="s">
        <v>1038</v>
      </c>
      <c r="R723" s="78" t="s">
        <v>1503</v>
      </c>
      <c r="S723" s="78"/>
      <c r="T723" s="78"/>
      <c r="U723" s="78"/>
      <c r="V723" s="78"/>
      <c r="W723" s="81" t="s">
        <v>1674</v>
      </c>
      <c r="X723" s="81" t="s">
        <v>1674</v>
      </c>
      <c r="Y723" s="78"/>
      <c r="Z723" s="78"/>
      <c r="AA723" s="81" t="s">
        <v>1674</v>
      </c>
      <c r="AB723" s="79">
        <v>54</v>
      </c>
      <c r="AC723" s="80" t="str">
        <f>REPLACE(INDEX(GroupVertices[Group],MATCH("~"&amp;Edges[[#This Row],[Vertex 1]],GroupVertices[Vertex],0)),1,1,"")</f>
        <v>2</v>
      </c>
      <c r="AD723" s="80" t="str">
        <f>REPLACE(INDEX(GroupVertices[Group],MATCH("~"&amp;Edges[[#This Row],[Vertex 2]],GroupVertices[Vertex],0)),1,1,"")</f>
        <v>2</v>
      </c>
      <c r="AE723" s="105"/>
      <c r="AF723" s="105"/>
      <c r="AG723" s="105"/>
      <c r="AH723" s="105"/>
      <c r="AI723" s="105"/>
      <c r="AJ723" s="105"/>
      <c r="AK723" s="105"/>
      <c r="AL723" s="105"/>
      <c r="AM723" s="105"/>
    </row>
    <row r="724" spans="1:39" ht="15">
      <c r="A724" s="62" t="s">
        <v>241</v>
      </c>
      <c r="B724" s="62" t="s">
        <v>249</v>
      </c>
      <c r="C724" s="63" t="s">
        <v>3610</v>
      </c>
      <c r="D724" s="64">
        <v>10</v>
      </c>
      <c r="E724" s="65" t="s">
        <v>136</v>
      </c>
      <c r="F724" s="66">
        <v>6</v>
      </c>
      <c r="G724" s="63"/>
      <c r="H724" s="67"/>
      <c r="I724" s="68"/>
      <c r="J724" s="68"/>
      <c r="K724" s="31" t="s">
        <v>65</v>
      </c>
      <c r="L724" s="76">
        <v>724</v>
      </c>
      <c r="M724" s="76"/>
      <c r="N724" s="70"/>
      <c r="O724" s="78" t="s">
        <v>305</v>
      </c>
      <c r="P724" s="78" t="s">
        <v>526</v>
      </c>
      <c r="Q724" s="78" t="s">
        <v>1038</v>
      </c>
      <c r="R724" s="78" t="s">
        <v>1504</v>
      </c>
      <c r="S724" s="78"/>
      <c r="T724" s="78"/>
      <c r="U724" s="78"/>
      <c r="V724" s="78"/>
      <c r="W724" s="81" t="s">
        <v>1674</v>
      </c>
      <c r="X724" s="81" t="s">
        <v>1674</v>
      </c>
      <c r="Y724" s="78"/>
      <c r="Z724" s="78"/>
      <c r="AA724" s="81" t="s">
        <v>1674</v>
      </c>
      <c r="AB724" s="79">
        <v>54</v>
      </c>
      <c r="AC724" s="80" t="str">
        <f>REPLACE(INDEX(GroupVertices[Group],MATCH("~"&amp;Edges[[#This Row],[Vertex 1]],GroupVertices[Vertex],0)),1,1,"")</f>
        <v>2</v>
      </c>
      <c r="AD724" s="80" t="str">
        <f>REPLACE(INDEX(GroupVertices[Group],MATCH("~"&amp;Edges[[#This Row],[Vertex 2]],GroupVertices[Vertex],0)),1,1,"")</f>
        <v>2</v>
      </c>
      <c r="AE724" s="105"/>
      <c r="AF724" s="105"/>
      <c r="AG724" s="105"/>
      <c r="AH724" s="105"/>
      <c r="AI724" s="105"/>
      <c r="AJ724" s="105"/>
      <c r="AK724" s="105"/>
      <c r="AL724" s="105"/>
      <c r="AM724" s="105"/>
    </row>
    <row r="725" spans="1:39" ht="15">
      <c r="A725" s="62" t="s">
        <v>241</v>
      </c>
      <c r="B725" s="62" t="s">
        <v>249</v>
      </c>
      <c r="C725" s="63" t="s">
        <v>3610</v>
      </c>
      <c r="D725" s="64">
        <v>10</v>
      </c>
      <c r="E725" s="65" t="s">
        <v>136</v>
      </c>
      <c r="F725" s="66">
        <v>6</v>
      </c>
      <c r="G725" s="63"/>
      <c r="H725" s="67"/>
      <c r="I725" s="68"/>
      <c r="J725" s="68"/>
      <c r="K725" s="31" t="s">
        <v>65</v>
      </c>
      <c r="L725" s="76">
        <v>725</v>
      </c>
      <c r="M725" s="76"/>
      <c r="N725" s="70"/>
      <c r="O725" s="78" t="s">
        <v>305</v>
      </c>
      <c r="P725" s="78" t="s">
        <v>434</v>
      </c>
      <c r="Q725" s="78" t="s">
        <v>877</v>
      </c>
      <c r="R725" s="78" t="s">
        <v>868</v>
      </c>
      <c r="S725" s="78"/>
      <c r="T725" s="78"/>
      <c r="U725" s="78"/>
      <c r="V725" s="78"/>
      <c r="W725" s="81" t="s">
        <v>1674</v>
      </c>
      <c r="X725" s="81" t="s">
        <v>1674</v>
      </c>
      <c r="Y725" s="78"/>
      <c r="Z725" s="78"/>
      <c r="AA725" s="81" t="s">
        <v>1674</v>
      </c>
      <c r="AB725" s="79">
        <v>54</v>
      </c>
      <c r="AC725" s="80" t="str">
        <f>REPLACE(INDEX(GroupVertices[Group],MATCH("~"&amp;Edges[[#This Row],[Vertex 1]],GroupVertices[Vertex],0)),1,1,"")</f>
        <v>2</v>
      </c>
      <c r="AD725" s="80" t="str">
        <f>REPLACE(INDEX(GroupVertices[Group],MATCH("~"&amp;Edges[[#This Row],[Vertex 2]],GroupVertices[Vertex],0)),1,1,"")</f>
        <v>2</v>
      </c>
      <c r="AE725" s="105"/>
      <c r="AF725" s="105"/>
      <c r="AG725" s="105"/>
      <c r="AH725" s="105"/>
      <c r="AI725" s="105"/>
      <c r="AJ725" s="105"/>
      <c r="AK725" s="105"/>
      <c r="AL725" s="105"/>
      <c r="AM725" s="105"/>
    </row>
    <row r="726" spans="1:39" ht="15">
      <c r="A726" s="62" t="s">
        <v>241</v>
      </c>
      <c r="B726" s="62" t="s">
        <v>249</v>
      </c>
      <c r="C726" s="63" t="s">
        <v>3610</v>
      </c>
      <c r="D726" s="64">
        <v>10</v>
      </c>
      <c r="E726" s="65" t="s">
        <v>136</v>
      </c>
      <c r="F726" s="66">
        <v>6</v>
      </c>
      <c r="G726" s="63"/>
      <c r="H726" s="67"/>
      <c r="I726" s="68"/>
      <c r="J726" s="68"/>
      <c r="K726" s="31" t="s">
        <v>65</v>
      </c>
      <c r="L726" s="76">
        <v>726</v>
      </c>
      <c r="M726" s="76"/>
      <c r="N726" s="70"/>
      <c r="O726" s="78" t="s">
        <v>305</v>
      </c>
      <c r="P726" s="78" t="s">
        <v>434</v>
      </c>
      <c r="Q726" s="78" t="s">
        <v>877</v>
      </c>
      <c r="R726" s="78" t="s">
        <v>869</v>
      </c>
      <c r="S726" s="78"/>
      <c r="T726" s="78"/>
      <c r="U726" s="78"/>
      <c r="V726" s="78"/>
      <c r="W726" s="81" t="s">
        <v>1674</v>
      </c>
      <c r="X726" s="81" t="s">
        <v>1674</v>
      </c>
      <c r="Y726" s="78"/>
      <c r="Z726" s="78"/>
      <c r="AA726" s="81" t="s">
        <v>1674</v>
      </c>
      <c r="AB726" s="79">
        <v>54</v>
      </c>
      <c r="AC726" s="80" t="str">
        <f>REPLACE(INDEX(GroupVertices[Group],MATCH("~"&amp;Edges[[#This Row],[Vertex 1]],GroupVertices[Vertex],0)),1,1,"")</f>
        <v>2</v>
      </c>
      <c r="AD726" s="80" t="str">
        <f>REPLACE(INDEX(GroupVertices[Group],MATCH("~"&amp;Edges[[#This Row],[Vertex 2]],GroupVertices[Vertex],0)),1,1,"")</f>
        <v>2</v>
      </c>
      <c r="AE726" s="105"/>
      <c r="AF726" s="105"/>
      <c r="AG726" s="105"/>
      <c r="AH726" s="105"/>
      <c r="AI726" s="105"/>
      <c r="AJ726" s="105"/>
      <c r="AK726" s="105"/>
      <c r="AL726" s="105"/>
      <c r="AM726" s="105"/>
    </row>
    <row r="727" spans="1:39" ht="15">
      <c r="A727" s="62" t="s">
        <v>241</v>
      </c>
      <c r="B727" s="62" t="s">
        <v>249</v>
      </c>
      <c r="C727" s="63" t="s">
        <v>3610</v>
      </c>
      <c r="D727" s="64">
        <v>10</v>
      </c>
      <c r="E727" s="65" t="s">
        <v>136</v>
      </c>
      <c r="F727" s="66">
        <v>6</v>
      </c>
      <c r="G727" s="63"/>
      <c r="H727" s="67"/>
      <c r="I727" s="68"/>
      <c r="J727" s="68"/>
      <c r="K727" s="31" t="s">
        <v>65</v>
      </c>
      <c r="L727" s="76">
        <v>727</v>
      </c>
      <c r="M727" s="76"/>
      <c r="N727" s="70"/>
      <c r="O727" s="78" t="s">
        <v>305</v>
      </c>
      <c r="P727" s="78" t="s">
        <v>434</v>
      </c>
      <c r="Q727" s="78" t="s">
        <v>877</v>
      </c>
      <c r="R727" s="78" t="s">
        <v>870</v>
      </c>
      <c r="S727" s="78"/>
      <c r="T727" s="78"/>
      <c r="U727" s="78"/>
      <c r="V727" s="78"/>
      <c r="W727" s="81" t="s">
        <v>1674</v>
      </c>
      <c r="X727" s="81" t="s">
        <v>1674</v>
      </c>
      <c r="Y727" s="78"/>
      <c r="Z727" s="78"/>
      <c r="AA727" s="81" t="s">
        <v>1674</v>
      </c>
      <c r="AB727" s="79">
        <v>54</v>
      </c>
      <c r="AC727" s="80" t="str">
        <f>REPLACE(INDEX(GroupVertices[Group],MATCH("~"&amp;Edges[[#This Row],[Vertex 1]],GroupVertices[Vertex],0)),1,1,"")</f>
        <v>2</v>
      </c>
      <c r="AD727" s="80" t="str">
        <f>REPLACE(INDEX(GroupVertices[Group],MATCH("~"&amp;Edges[[#This Row],[Vertex 2]],GroupVertices[Vertex],0)),1,1,"")</f>
        <v>2</v>
      </c>
      <c r="AE727" s="105"/>
      <c r="AF727" s="105"/>
      <c r="AG727" s="105"/>
      <c r="AH727" s="105"/>
      <c r="AI727" s="105"/>
      <c r="AJ727" s="105"/>
      <c r="AK727" s="105"/>
      <c r="AL727" s="105"/>
      <c r="AM727" s="105"/>
    </row>
    <row r="728" spans="1:39" ht="15">
      <c r="A728" s="62" t="s">
        <v>241</v>
      </c>
      <c r="B728" s="62" t="s">
        <v>249</v>
      </c>
      <c r="C728" s="63" t="s">
        <v>3610</v>
      </c>
      <c r="D728" s="64">
        <v>10</v>
      </c>
      <c r="E728" s="65" t="s">
        <v>136</v>
      </c>
      <c r="F728" s="66">
        <v>6</v>
      </c>
      <c r="G728" s="63"/>
      <c r="H728" s="67"/>
      <c r="I728" s="68"/>
      <c r="J728" s="68"/>
      <c r="K728" s="31" t="s">
        <v>65</v>
      </c>
      <c r="L728" s="76">
        <v>728</v>
      </c>
      <c r="M728" s="76"/>
      <c r="N728" s="70"/>
      <c r="O728" s="78" t="s">
        <v>305</v>
      </c>
      <c r="P728" s="78" t="s">
        <v>434</v>
      </c>
      <c r="Q728" s="78" t="s">
        <v>877</v>
      </c>
      <c r="R728" s="78" t="s">
        <v>871</v>
      </c>
      <c r="S728" s="78"/>
      <c r="T728" s="78"/>
      <c r="U728" s="78"/>
      <c r="V728" s="78"/>
      <c r="W728" s="81" t="s">
        <v>1674</v>
      </c>
      <c r="X728" s="81" t="s">
        <v>1674</v>
      </c>
      <c r="Y728" s="78"/>
      <c r="Z728" s="78"/>
      <c r="AA728" s="81" t="s">
        <v>1674</v>
      </c>
      <c r="AB728" s="79">
        <v>54</v>
      </c>
      <c r="AC728" s="80" t="str">
        <f>REPLACE(INDEX(GroupVertices[Group],MATCH("~"&amp;Edges[[#This Row],[Vertex 1]],GroupVertices[Vertex],0)),1,1,"")</f>
        <v>2</v>
      </c>
      <c r="AD728" s="80" t="str">
        <f>REPLACE(INDEX(GroupVertices[Group],MATCH("~"&amp;Edges[[#This Row],[Vertex 2]],GroupVertices[Vertex],0)),1,1,"")</f>
        <v>2</v>
      </c>
      <c r="AE728" s="105"/>
      <c r="AF728" s="105"/>
      <c r="AG728" s="105"/>
      <c r="AH728" s="105"/>
      <c r="AI728" s="105"/>
      <c r="AJ728" s="105"/>
      <c r="AK728" s="105"/>
      <c r="AL728" s="105"/>
      <c r="AM728" s="105"/>
    </row>
    <row r="729" spans="1:39" ht="15">
      <c r="A729" s="62" t="s">
        <v>241</v>
      </c>
      <c r="B729" s="62" t="s">
        <v>249</v>
      </c>
      <c r="C729" s="63" t="s">
        <v>3610</v>
      </c>
      <c r="D729" s="64">
        <v>10</v>
      </c>
      <c r="E729" s="65" t="s">
        <v>136</v>
      </c>
      <c r="F729" s="66">
        <v>6</v>
      </c>
      <c r="G729" s="63"/>
      <c r="H729" s="67"/>
      <c r="I729" s="68"/>
      <c r="J729" s="68"/>
      <c r="K729" s="31" t="s">
        <v>65</v>
      </c>
      <c r="L729" s="76">
        <v>729</v>
      </c>
      <c r="M729" s="76"/>
      <c r="N729" s="70"/>
      <c r="O729" s="78" t="s">
        <v>305</v>
      </c>
      <c r="P729" s="78" t="s">
        <v>434</v>
      </c>
      <c r="Q729" s="78" t="s">
        <v>877</v>
      </c>
      <c r="R729" s="78" t="s">
        <v>872</v>
      </c>
      <c r="S729" s="78"/>
      <c r="T729" s="78"/>
      <c r="U729" s="78"/>
      <c r="V729" s="78"/>
      <c r="W729" s="81" t="s">
        <v>1674</v>
      </c>
      <c r="X729" s="81" t="s">
        <v>1674</v>
      </c>
      <c r="Y729" s="78"/>
      <c r="Z729" s="78"/>
      <c r="AA729" s="81" t="s">
        <v>1674</v>
      </c>
      <c r="AB729" s="79">
        <v>54</v>
      </c>
      <c r="AC729" s="80" t="str">
        <f>REPLACE(INDEX(GroupVertices[Group],MATCH("~"&amp;Edges[[#This Row],[Vertex 1]],GroupVertices[Vertex],0)),1,1,"")</f>
        <v>2</v>
      </c>
      <c r="AD729" s="80" t="str">
        <f>REPLACE(INDEX(GroupVertices[Group],MATCH("~"&amp;Edges[[#This Row],[Vertex 2]],GroupVertices[Vertex],0)),1,1,"")</f>
        <v>2</v>
      </c>
      <c r="AE729" s="105"/>
      <c r="AF729" s="105"/>
      <c r="AG729" s="105"/>
      <c r="AH729" s="105"/>
      <c r="AI729" s="105"/>
      <c r="AJ729" s="105"/>
      <c r="AK729" s="105"/>
      <c r="AL729" s="105"/>
      <c r="AM729" s="105"/>
    </row>
    <row r="730" spans="1:39" ht="15">
      <c r="A730" s="62" t="s">
        <v>241</v>
      </c>
      <c r="B730" s="62" t="s">
        <v>249</v>
      </c>
      <c r="C730" s="63" t="s">
        <v>3610</v>
      </c>
      <c r="D730" s="64">
        <v>10</v>
      </c>
      <c r="E730" s="65" t="s">
        <v>136</v>
      </c>
      <c r="F730" s="66">
        <v>6</v>
      </c>
      <c r="G730" s="63"/>
      <c r="H730" s="67"/>
      <c r="I730" s="68"/>
      <c r="J730" s="68"/>
      <c r="K730" s="31" t="s">
        <v>65</v>
      </c>
      <c r="L730" s="76">
        <v>730</v>
      </c>
      <c r="M730" s="76"/>
      <c r="N730" s="70"/>
      <c r="O730" s="78" t="s">
        <v>305</v>
      </c>
      <c r="P730" s="78" t="s">
        <v>434</v>
      </c>
      <c r="Q730" s="78" t="s">
        <v>877</v>
      </c>
      <c r="R730" s="78" t="s">
        <v>873</v>
      </c>
      <c r="S730" s="78"/>
      <c r="T730" s="78"/>
      <c r="U730" s="78"/>
      <c r="V730" s="78"/>
      <c r="W730" s="81" t="s">
        <v>1674</v>
      </c>
      <c r="X730" s="81" t="s">
        <v>1674</v>
      </c>
      <c r="Y730" s="78"/>
      <c r="Z730" s="78"/>
      <c r="AA730" s="81" t="s">
        <v>1674</v>
      </c>
      <c r="AB730" s="79">
        <v>54</v>
      </c>
      <c r="AC730" s="80" t="str">
        <f>REPLACE(INDEX(GroupVertices[Group],MATCH("~"&amp;Edges[[#This Row],[Vertex 1]],GroupVertices[Vertex],0)),1,1,"")</f>
        <v>2</v>
      </c>
      <c r="AD730" s="80" t="str">
        <f>REPLACE(INDEX(GroupVertices[Group],MATCH("~"&amp;Edges[[#This Row],[Vertex 2]],GroupVertices[Vertex],0)),1,1,"")</f>
        <v>2</v>
      </c>
      <c r="AE730" s="105"/>
      <c r="AF730" s="105"/>
      <c r="AG730" s="105"/>
      <c r="AH730" s="105"/>
      <c r="AI730" s="105"/>
      <c r="AJ730" s="105"/>
      <c r="AK730" s="105"/>
      <c r="AL730" s="105"/>
      <c r="AM730" s="105"/>
    </row>
    <row r="731" spans="1:39" ht="15">
      <c r="A731" s="62" t="s">
        <v>241</v>
      </c>
      <c r="B731" s="62" t="s">
        <v>249</v>
      </c>
      <c r="C731" s="63" t="s">
        <v>3610</v>
      </c>
      <c r="D731" s="64">
        <v>10</v>
      </c>
      <c r="E731" s="65" t="s">
        <v>136</v>
      </c>
      <c r="F731" s="66">
        <v>6</v>
      </c>
      <c r="G731" s="63"/>
      <c r="H731" s="67"/>
      <c r="I731" s="68"/>
      <c r="J731" s="68"/>
      <c r="K731" s="31" t="s">
        <v>65</v>
      </c>
      <c r="L731" s="76">
        <v>731</v>
      </c>
      <c r="M731" s="76"/>
      <c r="N731" s="70"/>
      <c r="O731" s="78" t="s">
        <v>305</v>
      </c>
      <c r="P731" s="78" t="s">
        <v>434</v>
      </c>
      <c r="Q731" s="78" t="s">
        <v>877</v>
      </c>
      <c r="R731" s="78" t="s">
        <v>874</v>
      </c>
      <c r="S731" s="78"/>
      <c r="T731" s="78"/>
      <c r="U731" s="78"/>
      <c r="V731" s="78"/>
      <c r="W731" s="81" t="s">
        <v>1674</v>
      </c>
      <c r="X731" s="81" t="s">
        <v>1674</v>
      </c>
      <c r="Y731" s="78"/>
      <c r="Z731" s="78"/>
      <c r="AA731" s="81" t="s">
        <v>1674</v>
      </c>
      <c r="AB731" s="79">
        <v>54</v>
      </c>
      <c r="AC731" s="80" t="str">
        <f>REPLACE(INDEX(GroupVertices[Group],MATCH("~"&amp;Edges[[#This Row],[Vertex 1]],GroupVertices[Vertex],0)),1,1,"")</f>
        <v>2</v>
      </c>
      <c r="AD731" s="80" t="str">
        <f>REPLACE(INDEX(GroupVertices[Group],MATCH("~"&amp;Edges[[#This Row],[Vertex 2]],GroupVertices[Vertex],0)),1,1,"")</f>
        <v>2</v>
      </c>
      <c r="AE731" s="105"/>
      <c r="AF731" s="105"/>
      <c r="AG731" s="105"/>
      <c r="AH731" s="105"/>
      <c r="AI731" s="105"/>
      <c r="AJ731" s="105"/>
      <c r="AK731" s="105"/>
      <c r="AL731" s="105"/>
      <c r="AM731" s="105"/>
    </row>
    <row r="732" spans="1:39" ht="15">
      <c r="A732" s="62" t="s">
        <v>241</v>
      </c>
      <c r="B732" s="62" t="s">
        <v>249</v>
      </c>
      <c r="C732" s="63" t="s">
        <v>3610</v>
      </c>
      <c r="D732" s="64">
        <v>10</v>
      </c>
      <c r="E732" s="65" t="s">
        <v>136</v>
      </c>
      <c r="F732" s="66">
        <v>6</v>
      </c>
      <c r="G732" s="63"/>
      <c r="H732" s="67"/>
      <c r="I732" s="68"/>
      <c r="J732" s="68"/>
      <c r="K732" s="31" t="s">
        <v>65</v>
      </c>
      <c r="L732" s="76">
        <v>732</v>
      </c>
      <c r="M732" s="76"/>
      <c r="N732" s="70"/>
      <c r="O732" s="78" t="s">
        <v>305</v>
      </c>
      <c r="P732" s="78" t="s">
        <v>434</v>
      </c>
      <c r="Q732" s="78" t="s">
        <v>877</v>
      </c>
      <c r="R732" s="78" t="s">
        <v>875</v>
      </c>
      <c r="S732" s="78"/>
      <c r="T732" s="78"/>
      <c r="U732" s="78"/>
      <c r="V732" s="78"/>
      <c r="W732" s="81" t="s">
        <v>1674</v>
      </c>
      <c r="X732" s="81" t="s">
        <v>1674</v>
      </c>
      <c r="Y732" s="78"/>
      <c r="Z732" s="78"/>
      <c r="AA732" s="81" t="s">
        <v>1674</v>
      </c>
      <c r="AB732" s="79">
        <v>54</v>
      </c>
      <c r="AC732" s="80" t="str">
        <f>REPLACE(INDEX(GroupVertices[Group],MATCH("~"&amp;Edges[[#This Row],[Vertex 1]],GroupVertices[Vertex],0)),1,1,"")</f>
        <v>2</v>
      </c>
      <c r="AD732" s="80" t="str">
        <f>REPLACE(INDEX(GroupVertices[Group],MATCH("~"&amp;Edges[[#This Row],[Vertex 2]],GroupVertices[Vertex],0)),1,1,"")</f>
        <v>2</v>
      </c>
      <c r="AE732" s="105"/>
      <c r="AF732" s="105"/>
      <c r="AG732" s="105"/>
      <c r="AH732" s="105"/>
      <c r="AI732" s="105"/>
      <c r="AJ732" s="105"/>
      <c r="AK732" s="105"/>
      <c r="AL732" s="105"/>
      <c r="AM732" s="105"/>
    </row>
    <row r="733" spans="1:39" ht="15">
      <c r="A733" s="62" t="s">
        <v>241</v>
      </c>
      <c r="B733" s="62" t="s">
        <v>249</v>
      </c>
      <c r="C733" s="63" t="s">
        <v>3610</v>
      </c>
      <c r="D733" s="64">
        <v>10</v>
      </c>
      <c r="E733" s="65" t="s">
        <v>136</v>
      </c>
      <c r="F733" s="66">
        <v>6</v>
      </c>
      <c r="G733" s="63"/>
      <c r="H733" s="67"/>
      <c r="I733" s="68"/>
      <c r="J733" s="68"/>
      <c r="K733" s="31" t="s">
        <v>65</v>
      </c>
      <c r="L733" s="76">
        <v>733</v>
      </c>
      <c r="M733" s="76"/>
      <c r="N733" s="70"/>
      <c r="O733" s="78" t="s">
        <v>305</v>
      </c>
      <c r="P733" s="78" t="s">
        <v>434</v>
      </c>
      <c r="Q733" s="78" t="s">
        <v>877</v>
      </c>
      <c r="R733" s="78" t="s">
        <v>876</v>
      </c>
      <c r="S733" s="78"/>
      <c r="T733" s="78"/>
      <c r="U733" s="78"/>
      <c r="V733" s="78"/>
      <c r="W733" s="81" t="s">
        <v>1674</v>
      </c>
      <c r="X733" s="81" t="s">
        <v>1674</v>
      </c>
      <c r="Y733" s="78"/>
      <c r="Z733" s="78"/>
      <c r="AA733" s="81" t="s">
        <v>1674</v>
      </c>
      <c r="AB733" s="79">
        <v>54</v>
      </c>
      <c r="AC733" s="80" t="str">
        <f>REPLACE(INDEX(GroupVertices[Group],MATCH("~"&amp;Edges[[#This Row],[Vertex 1]],GroupVertices[Vertex],0)),1,1,"")</f>
        <v>2</v>
      </c>
      <c r="AD733" s="80" t="str">
        <f>REPLACE(INDEX(GroupVertices[Group],MATCH("~"&amp;Edges[[#This Row],[Vertex 2]],GroupVertices[Vertex],0)),1,1,"")</f>
        <v>2</v>
      </c>
      <c r="AE733" s="105"/>
      <c r="AF733" s="105"/>
      <c r="AG733" s="105"/>
      <c r="AH733" s="105"/>
      <c r="AI733" s="105"/>
      <c r="AJ733" s="105"/>
      <c r="AK733" s="105"/>
      <c r="AL733" s="105"/>
      <c r="AM733" s="105"/>
    </row>
    <row r="734" spans="1:39" ht="15">
      <c r="A734" s="62" t="s">
        <v>241</v>
      </c>
      <c r="B734" s="62" t="s">
        <v>249</v>
      </c>
      <c r="C734" s="63" t="s">
        <v>3610</v>
      </c>
      <c r="D734" s="64">
        <v>10</v>
      </c>
      <c r="E734" s="65" t="s">
        <v>136</v>
      </c>
      <c r="F734" s="66">
        <v>6</v>
      </c>
      <c r="G734" s="63"/>
      <c r="H734" s="67"/>
      <c r="I734" s="68"/>
      <c r="J734" s="68"/>
      <c r="K734" s="31" t="s">
        <v>65</v>
      </c>
      <c r="L734" s="76">
        <v>734</v>
      </c>
      <c r="M734" s="76"/>
      <c r="N734" s="70"/>
      <c r="O734" s="78" t="s">
        <v>305</v>
      </c>
      <c r="P734" s="78" t="s">
        <v>528</v>
      </c>
      <c r="Q734" s="78" t="s">
        <v>1039</v>
      </c>
      <c r="R734" s="78" t="s">
        <v>1509</v>
      </c>
      <c r="S734" s="78"/>
      <c r="T734" s="78"/>
      <c r="U734" s="78"/>
      <c r="V734" s="78"/>
      <c r="W734" s="81" t="s">
        <v>1674</v>
      </c>
      <c r="X734" s="81" t="s">
        <v>1674</v>
      </c>
      <c r="Y734" s="78"/>
      <c r="Z734" s="78"/>
      <c r="AA734" s="81" t="s">
        <v>1674</v>
      </c>
      <c r="AB734" s="79">
        <v>54</v>
      </c>
      <c r="AC734" s="80" t="str">
        <f>REPLACE(INDEX(GroupVertices[Group],MATCH("~"&amp;Edges[[#This Row],[Vertex 1]],GroupVertices[Vertex],0)),1,1,"")</f>
        <v>2</v>
      </c>
      <c r="AD734" s="80" t="str">
        <f>REPLACE(INDEX(GroupVertices[Group],MATCH("~"&amp;Edges[[#This Row],[Vertex 2]],GroupVertices[Vertex],0)),1,1,"")</f>
        <v>2</v>
      </c>
      <c r="AE734" s="105"/>
      <c r="AF734" s="105"/>
      <c r="AG734" s="105"/>
      <c r="AH734" s="105"/>
      <c r="AI734" s="105"/>
      <c r="AJ734" s="105"/>
      <c r="AK734" s="105"/>
      <c r="AL734" s="105"/>
      <c r="AM734" s="105"/>
    </row>
    <row r="735" spans="1:39" ht="15">
      <c r="A735" s="62" t="s">
        <v>241</v>
      </c>
      <c r="B735" s="62" t="s">
        <v>249</v>
      </c>
      <c r="C735" s="63" t="s">
        <v>3610</v>
      </c>
      <c r="D735" s="64">
        <v>10</v>
      </c>
      <c r="E735" s="65" t="s">
        <v>136</v>
      </c>
      <c r="F735" s="66">
        <v>6</v>
      </c>
      <c r="G735" s="63"/>
      <c r="H735" s="67"/>
      <c r="I735" s="68"/>
      <c r="J735" s="68"/>
      <c r="K735" s="31" t="s">
        <v>65</v>
      </c>
      <c r="L735" s="76">
        <v>735</v>
      </c>
      <c r="M735" s="76"/>
      <c r="N735" s="70"/>
      <c r="O735" s="78" t="s">
        <v>305</v>
      </c>
      <c r="P735" s="78" t="s">
        <v>529</v>
      </c>
      <c r="Q735" s="78" t="s">
        <v>1040</v>
      </c>
      <c r="R735" s="78" t="s">
        <v>1510</v>
      </c>
      <c r="S735" s="78"/>
      <c r="T735" s="78"/>
      <c r="U735" s="78"/>
      <c r="V735" s="78"/>
      <c r="W735" s="81" t="s">
        <v>1674</v>
      </c>
      <c r="X735" s="81" t="s">
        <v>1674</v>
      </c>
      <c r="Y735" s="78"/>
      <c r="Z735" s="78"/>
      <c r="AA735" s="81" t="s">
        <v>1674</v>
      </c>
      <c r="AB735" s="79">
        <v>54</v>
      </c>
      <c r="AC735" s="80" t="str">
        <f>REPLACE(INDEX(GroupVertices[Group],MATCH("~"&amp;Edges[[#This Row],[Vertex 1]],GroupVertices[Vertex],0)),1,1,"")</f>
        <v>2</v>
      </c>
      <c r="AD735" s="80" t="str">
        <f>REPLACE(INDEX(GroupVertices[Group],MATCH("~"&amp;Edges[[#This Row],[Vertex 2]],GroupVertices[Vertex],0)),1,1,"")</f>
        <v>2</v>
      </c>
      <c r="AE735" s="105"/>
      <c r="AF735" s="105"/>
      <c r="AG735" s="105"/>
      <c r="AH735" s="105"/>
      <c r="AI735" s="105"/>
      <c r="AJ735" s="105"/>
      <c r="AK735" s="105"/>
      <c r="AL735" s="105"/>
      <c r="AM735" s="105"/>
    </row>
    <row r="736" spans="1:39" ht="15">
      <c r="A736" s="62" t="s">
        <v>241</v>
      </c>
      <c r="B736" s="62" t="s">
        <v>249</v>
      </c>
      <c r="C736" s="63" t="s">
        <v>3610</v>
      </c>
      <c r="D736" s="64">
        <v>10</v>
      </c>
      <c r="E736" s="65" t="s">
        <v>136</v>
      </c>
      <c r="F736" s="66">
        <v>6</v>
      </c>
      <c r="G736" s="63"/>
      <c r="H736" s="67"/>
      <c r="I736" s="68"/>
      <c r="J736" s="68"/>
      <c r="K736" s="31" t="s">
        <v>65</v>
      </c>
      <c r="L736" s="76">
        <v>736</v>
      </c>
      <c r="M736" s="76"/>
      <c r="N736" s="70"/>
      <c r="O736" s="78" t="s">
        <v>305</v>
      </c>
      <c r="P736" s="78" t="s">
        <v>529</v>
      </c>
      <c r="Q736" s="78" t="s">
        <v>1040</v>
      </c>
      <c r="R736" s="78" t="s">
        <v>1511</v>
      </c>
      <c r="S736" s="78"/>
      <c r="T736" s="78"/>
      <c r="U736" s="78"/>
      <c r="V736" s="78"/>
      <c r="W736" s="81" t="s">
        <v>1674</v>
      </c>
      <c r="X736" s="81" t="s">
        <v>1674</v>
      </c>
      <c r="Y736" s="78"/>
      <c r="Z736" s="78"/>
      <c r="AA736" s="81" t="s">
        <v>1674</v>
      </c>
      <c r="AB736" s="79">
        <v>54</v>
      </c>
      <c r="AC736" s="80" t="str">
        <f>REPLACE(INDEX(GroupVertices[Group],MATCH("~"&amp;Edges[[#This Row],[Vertex 1]],GroupVertices[Vertex],0)),1,1,"")</f>
        <v>2</v>
      </c>
      <c r="AD736" s="80" t="str">
        <f>REPLACE(INDEX(GroupVertices[Group],MATCH("~"&amp;Edges[[#This Row],[Vertex 2]],GroupVertices[Vertex],0)),1,1,"")</f>
        <v>2</v>
      </c>
      <c r="AE736" s="105"/>
      <c r="AF736" s="105"/>
      <c r="AG736" s="105"/>
      <c r="AH736" s="105"/>
      <c r="AI736" s="105"/>
      <c r="AJ736" s="105"/>
      <c r="AK736" s="105"/>
      <c r="AL736" s="105"/>
      <c r="AM736" s="105"/>
    </row>
    <row r="737" spans="1:39" ht="15">
      <c r="A737" s="62" t="s">
        <v>270</v>
      </c>
      <c r="B737" s="62" t="s">
        <v>241</v>
      </c>
      <c r="C737" s="63" t="s">
        <v>3598</v>
      </c>
      <c r="D737" s="64">
        <v>5</v>
      </c>
      <c r="E737" s="65" t="s">
        <v>132</v>
      </c>
      <c r="F737" s="66">
        <v>32</v>
      </c>
      <c r="G737" s="63"/>
      <c r="H737" s="67"/>
      <c r="I737" s="68"/>
      <c r="J737" s="68"/>
      <c r="K737" s="31" t="s">
        <v>65</v>
      </c>
      <c r="L737" s="76">
        <v>737</v>
      </c>
      <c r="M737" s="76"/>
      <c r="N737" s="70"/>
      <c r="O737" s="78" t="s">
        <v>305</v>
      </c>
      <c r="P737" s="78" t="s">
        <v>530</v>
      </c>
      <c r="Q737" s="78" t="s">
        <v>1041</v>
      </c>
      <c r="R737" s="78" t="s">
        <v>1512</v>
      </c>
      <c r="S737" s="78"/>
      <c r="T737" s="78"/>
      <c r="U737" s="78"/>
      <c r="V737" s="78"/>
      <c r="W737" s="81" t="s">
        <v>1674</v>
      </c>
      <c r="X737" s="81" t="s">
        <v>1674</v>
      </c>
      <c r="Y737" s="78"/>
      <c r="Z737" s="78"/>
      <c r="AA737" s="81" t="s">
        <v>1674</v>
      </c>
      <c r="AB737" s="79">
        <v>1</v>
      </c>
      <c r="AC737" s="80" t="str">
        <f>REPLACE(INDEX(GroupVertices[Group],MATCH("~"&amp;Edges[[#This Row],[Vertex 1]],GroupVertices[Vertex],0)),1,1,"")</f>
        <v>2</v>
      </c>
      <c r="AD737" s="80" t="str">
        <f>REPLACE(INDEX(GroupVertices[Group],MATCH("~"&amp;Edges[[#This Row],[Vertex 2]],GroupVertices[Vertex],0)),1,1,"")</f>
        <v>2</v>
      </c>
      <c r="AE737" s="105"/>
      <c r="AF737" s="105"/>
      <c r="AG737" s="105"/>
      <c r="AH737" s="105"/>
      <c r="AI737" s="105"/>
      <c r="AJ737" s="105"/>
      <c r="AK737" s="105"/>
      <c r="AL737" s="105"/>
      <c r="AM737" s="105"/>
    </row>
    <row r="738" spans="1:39" ht="15">
      <c r="A738" s="62" t="s">
        <v>254</v>
      </c>
      <c r="B738" s="62" t="s">
        <v>241</v>
      </c>
      <c r="C738" s="63" t="s">
        <v>3598</v>
      </c>
      <c r="D738" s="64">
        <v>5.2631578947368425</v>
      </c>
      <c r="E738" s="65" t="s">
        <v>136</v>
      </c>
      <c r="F738" s="66">
        <v>31.50943396226415</v>
      </c>
      <c r="G738" s="63"/>
      <c r="H738" s="67"/>
      <c r="I738" s="68"/>
      <c r="J738" s="68"/>
      <c r="K738" s="31" t="s">
        <v>65</v>
      </c>
      <c r="L738" s="76">
        <v>738</v>
      </c>
      <c r="M738" s="76"/>
      <c r="N738" s="70"/>
      <c r="O738" s="78" t="s">
        <v>305</v>
      </c>
      <c r="P738" s="78" t="s">
        <v>524</v>
      </c>
      <c r="Q738" s="78" t="s">
        <v>1042</v>
      </c>
      <c r="R738" s="78" t="s">
        <v>1032</v>
      </c>
      <c r="S738" s="78"/>
      <c r="T738" s="78"/>
      <c r="U738" s="78"/>
      <c r="V738" s="78"/>
      <c r="W738" s="81" t="s">
        <v>1674</v>
      </c>
      <c r="X738" s="81" t="s">
        <v>1674</v>
      </c>
      <c r="Y738" s="78"/>
      <c r="Z738" s="78"/>
      <c r="AA738" s="81" t="s">
        <v>1674</v>
      </c>
      <c r="AB738" s="79">
        <v>2</v>
      </c>
      <c r="AC738" s="80" t="str">
        <f>REPLACE(INDEX(GroupVertices[Group],MATCH("~"&amp;Edges[[#This Row],[Vertex 1]],GroupVertices[Vertex],0)),1,1,"")</f>
        <v>2</v>
      </c>
      <c r="AD738" s="80" t="str">
        <f>REPLACE(INDEX(GroupVertices[Group],MATCH("~"&amp;Edges[[#This Row],[Vertex 2]],GroupVertices[Vertex],0)),1,1,"")</f>
        <v>2</v>
      </c>
      <c r="AE738" s="105"/>
      <c r="AF738" s="105"/>
      <c r="AG738" s="105"/>
      <c r="AH738" s="105"/>
      <c r="AI738" s="105"/>
      <c r="AJ738" s="105"/>
      <c r="AK738" s="105"/>
      <c r="AL738" s="105"/>
      <c r="AM738" s="105"/>
    </row>
    <row r="739" spans="1:39" ht="15">
      <c r="A739" s="62" t="s">
        <v>254</v>
      </c>
      <c r="B739" s="62" t="s">
        <v>241</v>
      </c>
      <c r="C739" s="63" t="s">
        <v>3598</v>
      </c>
      <c r="D739" s="64">
        <v>5.2631578947368425</v>
      </c>
      <c r="E739" s="65" t="s">
        <v>136</v>
      </c>
      <c r="F739" s="66">
        <v>31.50943396226415</v>
      </c>
      <c r="G739" s="63"/>
      <c r="H739" s="67"/>
      <c r="I739" s="68"/>
      <c r="J739" s="68"/>
      <c r="K739" s="31" t="s">
        <v>65</v>
      </c>
      <c r="L739" s="76">
        <v>739</v>
      </c>
      <c r="M739" s="76"/>
      <c r="N739" s="70"/>
      <c r="O739" s="78" t="s">
        <v>305</v>
      </c>
      <c r="P739" s="78" t="s">
        <v>434</v>
      </c>
      <c r="Q739" s="78" t="s">
        <v>878</v>
      </c>
      <c r="R739" s="78" t="s">
        <v>877</v>
      </c>
      <c r="S739" s="78"/>
      <c r="T739" s="78"/>
      <c r="U739" s="78"/>
      <c r="V739" s="78"/>
      <c r="W739" s="81" t="s">
        <v>1674</v>
      </c>
      <c r="X739" s="81" t="s">
        <v>1674</v>
      </c>
      <c r="Y739" s="78"/>
      <c r="Z739" s="78"/>
      <c r="AA739" s="81" t="s">
        <v>1674</v>
      </c>
      <c r="AB739" s="79">
        <v>2</v>
      </c>
      <c r="AC739" s="80" t="str">
        <f>REPLACE(INDEX(GroupVertices[Group],MATCH("~"&amp;Edges[[#This Row],[Vertex 1]],GroupVertices[Vertex],0)),1,1,"")</f>
        <v>2</v>
      </c>
      <c r="AD739" s="80" t="str">
        <f>REPLACE(INDEX(GroupVertices[Group],MATCH("~"&amp;Edges[[#This Row],[Vertex 2]],GroupVertices[Vertex],0)),1,1,"")</f>
        <v>2</v>
      </c>
      <c r="AE739" s="105"/>
      <c r="AF739" s="105"/>
      <c r="AG739" s="105"/>
      <c r="AH739" s="105"/>
      <c r="AI739" s="105"/>
      <c r="AJ739" s="105"/>
      <c r="AK739" s="105"/>
      <c r="AL739" s="105"/>
      <c r="AM739" s="105"/>
    </row>
    <row r="740" spans="1:39" ht="15">
      <c r="A740" s="62" t="s">
        <v>258</v>
      </c>
      <c r="B740" s="62" t="s">
        <v>241</v>
      </c>
      <c r="C740" s="63" t="s">
        <v>3603</v>
      </c>
      <c r="D740" s="64">
        <v>5.7894736842105265</v>
      </c>
      <c r="E740" s="65" t="s">
        <v>136</v>
      </c>
      <c r="F740" s="66">
        <v>30.528301886792452</v>
      </c>
      <c r="G740" s="63"/>
      <c r="H740" s="67"/>
      <c r="I740" s="68"/>
      <c r="J740" s="68"/>
      <c r="K740" s="31" t="s">
        <v>65</v>
      </c>
      <c r="L740" s="76">
        <v>740</v>
      </c>
      <c r="M740" s="76"/>
      <c r="N740" s="70"/>
      <c r="O740" s="78" t="s">
        <v>305</v>
      </c>
      <c r="P740" s="78" t="s">
        <v>353</v>
      </c>
      <c r="Q740" s="78" t="s">
        <v>736</v>
      </c>
      <c r="R740" s="78" t="s">
        <v>708</v>
      </c>
      <c r="S740" s="78" t="s">
        <v>1645</v>
      </c>
      <c r="T740" s="78" t="s">
        <v>1644</v>
      </c>
      <c r="U740" s="78" t="s">
        <v>1670</v>
      </c>
      <c r="V740" s="78" t="s">
        <v>1670</v>
      </c>
      <c r="W740" s="81" t="s">
        <v>1674</v>
      </c>
      <c r="X740" s="81" t="s">
        <v>1674</v>
      </c>
      <c r="Y740" s="78" t="s">
        <v>1692</v>
      </c>
      <c r="Z740" s="78" t="s">
        <v>1669</v>
      </c>
      <c r="AA740" s="81" t="s">
        <v>1674</v>
      </c>
      <c r="AB740" s="79">
        <v>4</v>
      </c>
      <c r="AC740" s="80" t="str">
        <f>REPLACE(INDEX(GroupVertices[Group],MATCH("~"&amp;Edges[[#This Row],[Vertex 1]],GroupVertices[Vertex],0)),1,1,"")</f>
        <v>1</v>
      </c>
      <c r="AD740" s="80" t="str">
        <f>REPLACE(INDEX(GroupVertices[Group],MATCH("~"&amp;Edges[[#This Row],[Vertex 2]],GroupVertices[Vertex],0)),1,1,"")</f>
        <v>2</v>
      </c>
      <c r="AE740" s="105"/>
      <c r="AF740" s="105"/>
      <c r="AG740" s="105"/>
      <c r="AH740" s="105"/>
      <c r="AI740" s="105"/>
      <c r="AJ740" s="105"/>
      <c r="AK740" s="105"/>
      <c r="AL740" s="105"/>
      <c r="AM740" s="105"/>
    </row>
    <row r="741" spans="1:39" ht="15">
      <c r="A741" s="62" t="s">
        <v>258</v>
      </c>
      <c r="B741" s="62" t="s">
        <v>241</v>
      </c>
      <c r="C741" s="63" t="s">
        <v>3603</v>
      </c>
      <c r="D741" s="64">
        <v>5.7894736842105265</v>
      </c>
      <c r="E741" s="65" t="s">
        <v>136</v>
      </c>
      <c r="F741" s="66">
        <v>30.528301886792452</v>
      </c>
      <c r="G741" s="63"/>
      <c r="H741" s="67"/>
      <c r="I741" s="68"/>
      <c r="J741" s="68"/>
      <c r="K741" s="31" t="s">
        <v>65</v>
      </c>
      <c r="L741" s="76">
        <v>741</v>
      </c>
      <c r="M741" s="76"/>
      <c r="N741" s="70"/>
      <c r="O741" s="78" t="s">
        <v>305</v>
      </c>
      <c r="P741" s="78" t="s">
        <v>353</v>
      </c>
      <c r="Q741" s="78" t="s">
        <v>736</v>
      </c>
      <c r="R741" s="78" t="s">
        <v>709</v>
      </c>
      <c r="S741" s="78" t="s">
        <v>1645</v>
      </c>
      <c r="T741" s="78"/>
      <c r="U741" s="78" t="s">
        <v>1670</v>
      </c>
      <c r="V741" s="78"/>
      <c r="W741" s="81" t="s">
        <v>1674</v>
      </c>
      <c r="X741" s="81" t="s">
        <v>1674</v>
      </c>
      <c r="Y741" s="78" t="s">
        <v>1678</v>
      </c>
      <c r="Z741" s="78" t="s">
        <v>1709</v>
      </c>
      <c r="AA741" s="81" t="s">
        <v>1674</v>
      </c>
      <c r="AB741" s="79">
        <v>4</v>
      </c>
      <c r="AC741" s="80" t="str">
        <f>REPLACE(INDEX(GroupVertices[Group],MATCH("~"&amp;Edges[[#This Row],[Vertex 1]],GroupVertices[Vertex],0)),1,1,"")</f>
        <v>1</v>
      </c>
      <c r="AD741" s="80" t="str">
        <f>REPLACE(INDEX(GroupVertices[Group],MATCH("~"&amp;Edges[[#This Row],[Vertex 2]],GroupVertices[Vertex],0)),1,1,"")</f>
        <v>2</v>
      </c>
      <c r="AE741" s="105"/>
      <c r="AF741" s="105"/>
      <c r="AG741" s="105"/>
      <c r="AH741" s="105"/>
      <c r="AI741" s="105"/>
      <c r="AJ741" s="105"/>
      <c r="AK741" s="105"/>
      <c r="AL741" s="105"/>
      <c r="AM741" s="105"/>
    </row>
    <row r="742" spans="1:39" ht="15">
      <c r="A742" s="62" t="s">
        <v>258</v>
      </c>
      <c r="B742" s="62" t="s">
        <v>241</v>
      </c>
      <c r="C742" s="63" t="s">
        <v>3603</v>
      </c>
      <c r="D742" s="64">
        <v>5.7894736842105265</v>
      </c>
      <c r="E742" s="65" t="s">
        <v>136</v>
      </c>
      <c r="F742" s="66">
        <v>30.528301886792452</v>
      </c>
      <c r="G742" s="63"/>
      <c r="H742" s="67"/>
      <c r="I742" s="68"/>
      <c r="J742" s="68"/>
      <c r="K742" s="31" t="s">
        <v>65</v>
      </c>
      <c r="L742" s="76">
        <v>742</v>
      </c>
      <c r="M742" s="76"/>
      <c r="N742" s="70"/>
      <c r="O742" s="78" t="s">
        <v>305</v>
      </c>
      <c r="P742" s="78" t="s">
        <v>353</v>
      </c>
      <c r="Q742" s="78" t="s">
        <v>737</v>
      </c>
      <c r="R742" s="78" t="s">
        <v>708</v>
      </c>
      <c r="S742" s="78"/>
      <c r="T742" s="78" t="s">
        <v>1644</v>
      </c>
      <c r="U742" s="78"/>
      <c r="V742" s="78" t="s">
        <v>1670</v>
      </c>
      <c r="W742" s="81" t="s">
        <v>1674</v>
      </c>
      <c r="X742" s="81" t="s">
        <v>1674</v>
      </c>
      <c r="Y742" s="78" t="s">
        <v>1693</v>
      </c>
      <c r="Z742" s="78" t="s">
        <v>1710</v>
      </c>
      <c r="AA742" s="81" t="s">
        <v>1674</v>
      </c>
      <c r="AB742" s="79">
        <v>4</v>
      </c>
      <c r="AC742" s="80" t="str">
        <f>REPLACE(INDEX(GroupVertices[Group],MATCH("~"&amp;Edges[[#This Row],[Vertex 1]],GroupVertices[Vertex],0)),1,1,"")</f>
        <v>1</v>
      </c>
      <c r="AD742" s="80" t="str">
        <f>REPLACE(INDEX(GroupVertices[Group],MATCH("~"&amp;Edges[[#This Row],[Vertex 2]],GroupVertices[Vertex],0)),1,1,"")</f>
        <v>2</v>
      </c>
      <c r="AE742" s="105"/>
      <c r="AF742" s="105"/>
      <c r="AG742" s="105"/>
      <c r="AH742" s="105"/>
      <c r="AI742" s="105"/>
      <c r="AJ742" s="105"/>
      <c r="AK742" s="105"/>
      <c r="AL742" s="105"/>
      <c r="AM742" s="105"/>
    </row>
    <row r="743" spans="1:39" ht="15">
      <c r="A743" s="62" t="s">
        <v>258</v>
      </c>
      <c r="B743" s="62" t="s">
        <v>241</v>
      </c>
      <c r="C743" s="63" t="s">
        <v>3603</v>
      </c>
      <c r="D743" s="64">
        <v>5.7894736842105265</v>
      </c>
      <c r="E743" s="65" t="s">
        <v>136</v>
      </c>
      <c r="F743" s="66">
        <v>30.528301886792452</v>
      </c>
      <c r="G743" s="63"/>
      <c r="H743" s="67"/>
      <c r="I743" s="68"/>
      <c r="J743" s="68"/>
      <c r="K743" s="31" t="s">
        <v>65</v>
      </c>
      <c r="L743" s="76">
        <v>743</v>
      </c>
      <c r="M743" s="76"/>
      <c r="N743" s="70"/>
      <c r="O743" s="78" t="s">
        <v>305</v>
      </c>
      <c r="P743" s="78" t="s">
        <v>353</v>
      </c>
      <c r="Q743" s="78" t="s">
        <v>737</v>
      </c>
      <c r="R743" s="78" t="s">
        <v>709</v>
      </c>
      <c r="S743" s="78"/>
      <c r="T743" s="78"/>
      <c r="U743" s="78"/>
      <c r="V743" s="78"/>
      <c r="W743" s="81" t="s">
        <v>1674</v>
      </c>
      <c r="X743" s="81" t="s">
        <v>1674</v>
      </c>
      <c r="Y743" s="78"/>
      <c r="Z743" s="78"/>
      <c r="AA743" s="81" t="s">
        <v>1674</v>
      </c>
      <c r="AB743" s="79">
        <v>4</v>
      </c>
      <c r="AC743" s="80" t="str">
        <f>REPLACE(INDEX(GroupVertices[Group],MATCH("~"&amp;Edges[[#This Row],[Vertex 1]],GroupVertices[Vertex],0)),1,1,"")</f>
        <v>1</v>
      </c>
      <c r="AD743" s="80" t="str">
        <f>REPLACE(INDEX(GroupVertices[Group],MATCH("~"&amp;Edges[[#This Row],[Vertex 2]],GroupVertices[Vertex],0)),1,1,"")</f>
        <v>2</v>
      </c>
      <c r="AE743" s="105"/>
      <c r="AF743" s="105"/>
      <c r="AG743" s="105"/>
      <c r="AH743" s="105"/>
      <c r="AI743" s="105"/>
      <c r="AJ743" s="105"/>
      <c r="AK743" s="105"/>
      <c r="AL743" s="105"/>
      <c r="AM743" s="105"/>
    </row>
    <row r="744" spans="1:39" ht="15">
      <c r="A744" s="62" t="s">
        <v>265</v>
      </c>
      <c r="B744" s="62" t="s">
        <v>241</v>
      </c>
      <c r="C744" s="63" t="s">
        <v>3602</v>
      </c>
      <c r="D744" s="64">
        <v>5.526315789473684</v>
      </c>
      <c r="E744" s="65" t="s">
        <v>136</v>
      </c>
      <c r="F744" s="66">
        <v>31.0188679245283</v>
      </c>
      <c r="G744" s="63"/>
      <c r="H744" s="67"/>
      <c r="I744" s="68"/>
      <c r="J744" s="68"/>
      <c r="K744" s="31" t="s">
        <v>65</v>
      </c>
      <c r="L744" s="76">
        <v>744</v>
      </c>
      <c r="M744" s="76"/>
      <c r="N744" s="70"/>
      <c r="O744" s="78" t="s">
        <v>305</v>
      </c>
      <c r="P744" s="78" t="s">
        <v>527</v>
      </c>
      <c r="Q744" s="78" t="s">
        <v>1043</v>
      </c>
      <c r="R744" s="78" t="s">
        <v>1037</v>
      </c>
      <c r="S744" s="78"/>
      <c r="T744" s="78"/>
      <c r="U744" s="78"/>
      <c r="V744" s="78"/>
      <c r="W744" s="81" t="s">
        <v>1674</v>
      </c>
      <c r="X744" s="81" t="s">
        <v>1674</v>
      </c>
      <c r="Y744" s="78"/>
      <c r="Z744" s="78"/>
      <c r="AA744" s="81" t="s">
        <v>1674</v>
      </c>
      <c r="AB744" s="79">
        <v>3</v>
      </c>
      <c r="AC744" s="80" t="str">
        <f>REPLACE(INDEX(GroupVertices[Group],MATCH("~"&amp;Edges[[#This Row],[Vertex 1]],GroupVertices[Vertex],0)),1,1,"")</f>
        <v>3</v>
      </c>
      <c r="AD744" s="80" t="str">
        <f>REPLACE(INDEX(GroupVertices[Group],MATCH("~"&amp;Edges[[#This Row],[Vertex 2]],GroupVertices[Vertex],0)),1,1,"")</f>
        <v>2</v>
      </c>
      <c r="AE744" s="105"/>
      <c r="AF744" s="105"/>
      <c r="AG744" s="105"/>
      <c r="AH744" s="105"/>
      <c r="AI744" s="105"/>
      <c r="AJ744" s="105"/>
      <c r="AK744" s="105"/>
      <c r="AL744" s="105"/>
      <c r="AM744" s="105"/>
    </row>
    <row r="745" spans="1:39" ht="15">
      <c r="A745" s="62" t="s">
        <v>265</v>
      </c>
      <c r="B745" s="62" t="s">
        <v>241</v>
      </c>
      <c r="C745" s="63" t="s">
        <v>3602</v>
      </c>
      <c r="D745" s="64">
        <v>5.526315789473684</v>
      </c>
      <c r="E745" s="65" t="s">
        <v>136</v>
      </c>
      <c r="F745" s="66">
        <v>31.0188679245283</v>
      </c>
      <c r="G745" s="63"/>
      <c r="H745" s="67"/>
      <c r="I745" s="68"/>
      <c r="J745" s="68"/>
      <c r="K745" s="31" t="s">
        <v>65</v>
      </c>
      <c r="L745" s="76">
        <v>745</v>
      </c>
      <c r="M745" s="76"/>
      <c r="N745" s="70"/>
      <c r="O745" s="78" t="s">
        <v>305</v>
      </c>
      <c r="P745" s="78" t="s">
        <v>531</v>
      </c>
      <c r="Q745" s="78" t="s">
        <v>1044</v>
      </c>
      <c r="R745" s="78" t="s">
        <v>1513</v>
      </c>
      <c r="S745" s="78"/>
      <c r="T745" s="78"/>
      <c r="U745" s="78"/>
      <c r="V745" s="78"/>
      <c r="W745" s="81" t="s">
        <v>1674</v>
      </c>
      <c r="X745" s="81" t="s">
        <v>1674</v>
      </c>
      <c r="Y745" s="78"/>
      <c r="Z745" s="78"/>
      <c r="AA745" s="81" t="s">
        <v>1674</v>
      </c>
      <c r="AB745" s="79">
        <v>3</v>
      </c>
      <c r="AC745" s="80" t="str">
        <f>REPLACE(INDEX(GroupVertices[Group],MATCH("~"&amp;Edges[[#This Row],[Vertex 1]],GroupVertices[Vertex],0)),1,1,"")</f>
        <v>3</v>
      </c>
      <c r="AD745" s="80" t="str">
        <f>REPLACE(INDEX(GroupVertices[Group],MATCH("~"&amp;Edges[[#This Row],[Vertex 2]],GroupVertices[Vertex],0)),1,1,"")</f>
        <v>2</v>
      </c>
      <c r="AE745" s="105"/>
      <c r="AF745" s="105"/>
      <c r="AG745" s="105"/>
      <c r="AH745" s="105"/>
      <c r="AI745" s="105"/>
      <c r="AJ745" s="105"/>
      <c r="AK745" s="105"/>
      <c r="AL745" s="105"/>
      <c r="AM745" s="105"/>
    </row>
    <row r="746" spans="1:39" ht="15">
      <c r="A746" s="62" t="s">
        <v>265</v>
      </c>
      <c r="B746" s="62" t="s">
        <v>241</v>
      </c>
      <c r="C746" s="63" t="s">
        <v>3602</v>
      </c>
      <c r="D746" s="64">
        <v>5.526315789473684</v>
      </c>
      <c r="E746" s="65" t="s">
        <v>136</v>
      </c>
      <c r="F746" s="66">
        <v>31.0188679245283</v>
      </c>
      <c r="G746" s="63"/>
      <c r="H746" s="67"/>
      <c r="I746" s="68"/>
      <c r="J746" s="68"/>
      <c r="K746" s="31" t="s">
        <v>65</v>
      </c>
      <c r="L746" s="76">
        <v>746</v>
      </c>
      <c r="M746" s="76"/>
      <c r="N746" s="70"/>
      <c r="O746" s="78" t="s">
        <v>305</v>
      </c>
      <c r="P746" s="78" t="s">
        <v>531</v>
      </c>
      <c r="Q746" s="78" t="s">
        <v>1045</v>
      </c>
      <c r="R746" s="78" t="s">
        <v>1513</v>
      </c>
      <c r="S746" s="78"/>
      <c r="T746" s="78"/>
      <c r="U746" s="78"/>
      <c r="V746" s="78"/>
      <c r="W746" s="81" t="s">
        <v>1674</v>
      </c>
      <c r="X746" s="81" t="s">
        <v>1674</v>
      </c>
      <c r="Y746" s="78"/>
      <c r="Z746" s="78"/>
      <c r="AA746" s="81" t="s">
        <v>1674</v>
      </c>
      <c r="AB746" s="79">
        <v>3</v>
      </c>
      <c r="AC746" s="80" t="str">
        <f>REPLACE(INDEX(GroupVertices[Group],MATCH("~"&amp;Edges[[#This Row],[Vertex 1]],GroupVertices[Vertex],0)),1,1,"")</f>
        <v>3</v>
      </c>
      <c r="AD746" s="80" t="str">
        <f>REPLACE(INDEX(GroupVertices[Group],MATCH("~"&amp;Edges[[#This Row],[Vertex 2]],GroupVertices[Vertex],0)),1,1,"")</f>
        <v>2</v>
      </c>
      <c r="AE746" s="105"/>
      <c r="AF746" s="105"/>
      <c r="AG746" s="105"/>
      <c r="AH746" s="105"/>
      <c r="AI746" s="105"/>
      <c r="AJ746" s="105"/>
      <c r="AK746" s="105"/>
      <c r="AL746" s="105"/>
      <c r="AM746" s="105"/>
    </row>
    <row r="747" spans="1:39" ht="15">
      <c r="A747" s="62" t="s">
        <v>235</v>
      </c>
      <c r="B747" s="62" t="s">
        <v>241</v>
      </c>
      <c r="C747" s="63" t="s">
        <v>3598</v>
      </c>
      <c r="D747" s="64">
        <v>5.2631578947368425</v>
      </c>
      <c r="E747" s="65" t="s">
        <v>136</v>
      </c>
      <c r="F747" s="66">
        <v>31.50943396226415</v>
      </c>
      <c r="G747" s="63"/>
      <c r="H747" s="67"/>
      <c r="I747" s="68"/>
      <c r="J747" s="68"/>
      <c r="K747" s="31" t="s">
        <v>65</v>
      </c>
      <c r="L747" s="76">
        <v>747</v>
      </c>
      <c r="M747" s="76"/>
      <c r="N747" s="70"/>
      <c r="O747" s="78" t="s">
        <v>305</v>
      </c>
      <c r="P747" s="78" t="s">
        <v>353</v>
      </c>
      <c r="Q747" s="78" t="s">
        <v>751</v>
      </c>
      <c r="R747" s="78" t="s">
        <v>708</v>
      </c>
      <c r="S747" s="78" t="s">
        <v>1646</v>
      </c>
      <c r="T747" s="78" t="s">
        <v>1644</v>
      </c>
      <c r="U747" s="78" t="s">
        <v>1670</v>
      </c>
      <c r="V747" s="78" t="s">
        <v>1670</v>
      </c>
      <c r="W747" s="81" t="s">
        <v>1674</v>
      </c>
      <c r="X747" s="81" t="s">
        <v>1674</v>
      </c>
      <c r="Y747" s="78" t="s">
        <v>1694</v>
      </c>
      <c r="Z747" s="78" t="s">
        <v>1669</v>
      </c>
      <c r="AA747" s="81" t="s">
        <v>1674</v>
      </c>
      <c r="AB747" s="79">
        <v>2</v>
      </c>
      <c r="AC747" s="80" t="str">
        <f>REPLACE(INDEX(GroupVertices[Group],MATCH("~"&amp;Edges[[#This Row],[Vertex 1]],GroupVertices[Vertex],0)),1,1,"")</f>
        <v>1</v>
      </c>
      <c r="AD747" s="80" t="str">
        <f>REPLACE(INDEX(GroupVertices[Group],MATCH("~"&amp;Edges[[#This Row],[Vertex 2]],GroupVertices[Vertex],0)),1,1,"")</f>
        <v>2</v>
      </c>
      <c r="AE747" s="105"/>
      <c r="AF747" s="105"/>
      <c r="AG747" s="105"/>
      <c r="AH747" s="105"/>
      <c r="AI747" s="105"/>
      <c r="AJ747" s="105"/>
      <c r="AK747" s="105"/>
      <c r="AL747" s="105"/>
      <c r="AM747" s="105"/>
    </row>
    <row r="748" spans="1:39" ht="15">
      <c r="A748" s="62" t="s">
        <v>235</v>
      </c>
      <c r="B748" s="62" t="s">
        <v>241</v>
      </c>
      <c r="C748" s="63" t="s">
        <v>3598</v>
      </c>
      <c r="D748" s="64">
        <v>5.2631578947368425</v>
      </c>
      <c r="E748" s="65" t="s">
        <v>136</v>
      </c>
      <c r="F748" s="66">
        <v>31.50943396226415</v>
      </c>
      <c r="G748" s="63"/>
      <c r="H748" s="67"/>
      <c r="I748" s="68"/>
      <c r="J748" s="68"/>
      <c r="K748" s="31" t="s">
        <v>65</v>
      </c>
      <c r="L748" s="76">
        <v>748</v>
      </c>
      <c r="M748" s="76"/>
      <c r="N748" s="70"/>
      <c r="O748" s="78" t="s">
        <v>305</v>
      </c>
      <c r="P748" s="78" t="s">
        <v>353</v>
      </c>
      <c r="Q748" s="78" t="s">
        <v>751</v>
      </c>
      <c r="R748" s="78" t="s">
        <v>709</v>
      </c>
      <c r="S748" s="78" t="s">
        <v>1646</v>
      </c>
      <c r="T748" s="78"/>
      <c r="U748" s="78" t="s">
        <v>1670</v>
      </c>
      <c r="V748" s="78"/>
      <c r="W748" s="81" t="s">
        <v>1674</v>
      </c>
      <c r="X748" s="81" t="s">
        <v>1674</v>
      </c>
      <c r="Y748" s="78" t="s">
        <v>1679</v>
      </c>
      <c r="Z748" s="78" t="s">
        <v>1709</v>
      </c>
      <c r="AA748" s="81" t="s">
        <v>1674</v>
      </c>
      <c r="AB748" s="79">
        <v>2</v>
      </c>
      <c r="AC748" s="80" t="str">
        <f>REPLACE(INDEX(GroupVertices[Group],MATCH("~"&amp;Edges[[#This Row],[Vertex 1]],GroupVertices[Vertex],0)),1,1,"")</f>
        <v>1</v>
      </c>
      <c r="AD748" s="80" t="str">
        <f>REPLACE(INDEX(GroupVertices[Group],MATCH("~"&amp;Edges[[#This Row],[Vertex 2]],GroupVertices[Vertex],0)),1,1,"")</f>
        <v>2</v>
      </c>
      <c r="AE748" s="105"/>
      <c r="AF748" s="105"/>
      <c r="AG748" s="105"/>
      <c r="AH748" s="105"/>
      <c r="AI748" s="105"/>
      <c r="AJ748" s="105"/>
      <c r="AK748" s="105"/>
      <c r="AL748" s="105"/>
      <c r="AM748" s="105"/>
    </row>
    <row r="749" spans="1:39" ht="15">
      <c r="A749" s="62" t="s">
        <v>247</v>
      </c>
      <c r="B749" s="62" t="s">
        <v>241</v>
      </c>
      <c r="C749" s="63" t="s">
        <v>3598</v>
      </c>
      <c r="D749" s="64">
        <v>5.2631578947368425</v>
      </c>
      <c r="E749" s="65" t="s">
        <v>136</v>
      </c>
      <c r="F749" s="66">
        <v>31.50943396226415</v>
      </c>
      <c r="G749" s="63"/>
      <c r="H749" s="67"/>
      <c r="I749" s="68"/>
      <c r="J749" s="68"/>
      <c r="K749" s="31" t="s">
        <v>65</v>
      </c>
      <c r="L749" s="76">
        <v>749</v>
      </c>
      <c r="M749" s="76"/>
      <c r="N749" s="70"/>
      <c r="O749" s="78" t="s">
        <v>305</v>
      </c>
      <c r="P749" s="78" t="s">
        <v>531</v>
      </c>
      <c r="Q749" s="78" t="s">
        <v>1046</v>
      </c>
      <c r="R749" s="78" t="s">
        <v>1513</v>
      </c>
      <c r="S749" s="78"/>
      <c r="T749" s="78"/>
      <c r="U749" s="78"/>
      <c r="V749" s="78"/>
      <c r="W749" s="81" t="s">
        <v>1674</v>
      </c>
      <c r="X749" s="81" t="s">
        <v>1674</v>
      </c>
      <c r="Y749" s="78"/>
      <c r="Z749" s="78"/>
      <c r="AA749" s="81" t="s">
        <v>1674</v>
      </c>
      <c r="AB749" s="79">
        <v>2</v>
      </c>
      <c r="AC749" s="80" t="str">
        <f>REPLACE(INDEX(GroupVertices[Group],MATCH("~"&amp;Edges[[#This Row],[Vertex 1]],GroupVertices[Vertex],0)),1,1,"")</f>
        <v>2</v>
      </c>
      <c r="AD749" s="80" t="str">
        <f>REPLACE(INDEX(GroupVertices[Group],MATCH("~"&amp;Edges[[#This Row],[Vertex 2]],GroupVertices[Vertex],0)),1,1,"")</f>
        <v>2</v>
      </c>
      <c r="AE749" s="105"/>
      <c r="AF749" s="105"/>
      <c r="AG749" s="105"/>
      <c r="AH749" s="105"/>
      <c r="AI749" s="105"/>
      <c r="AJ749" s="105"/>
      <c r="AK749" s="105"/>
      <c r="AL749" s="105"/>
      <c r="AM749" s="105"/>
    </row>
    <row r="750" spans="1:39" ht="15">
      <c r="A750" s="62" t="s">
        <v>247</v>
      </c>
      <c r="B750" s="62" t="s">
        <v>241</v>
      </c>
      <c r="C750" s="63" t="s">
        <v>3598</v>
      </c>
      <c r="D750" s="64">
        <v>5.2631578947368425</v>
      </c>
      <c r="E750" s="65" t="s">
        <v>136</v>
      </c>
      <c r="F750" s="66">
        <v>31.50943396226415</v>
      </c>
      <c r="G750" s="63"/>
      <c r="H750" s="67"/>
      <c r="I750" s="68"/>
      <c r="J750" s="68"/>
      <c r="K750" s="31" t="s">
        <v>65</v>
      </c>
      <c r="L750" s="76">
        <v>750</v>
      </c>
      <c r="M750" s="76"/>
      <c r="N750" s="70"/>
      <c r="O750" s="78" t="s">
        <v>305</v>
      </c>
      <c r="P750" s="78" t="s">
        <v>531</v>
      </c>
      <c r="Q750" s="78" t="s">
        <v>1047</v>
      </c>
      <c r="R750" s="78" t="s">
        <v>1513</v>
      </c>
      <c r="S750" s="78"/>
      <c r="T750" s="78"/>
      <c r="U750" s="78"/>
      <c r="V750" s="78"/>
      <c r="W750" s="81" t="s">
        <v>1674</v>
      </c>
      <c r="X750" s="81" t="s">
        <v>1674</v>
      </c>
      <c r="Y750" s="78"/>
      <c r="Z750" s="78"/>
      <c r="AA750" s="81" t="s">
        <v>1674</v>
      </c>
      <c r="AB750" s="79">
        <v>2</v>
      </c>
      <c r="AC750" s="80" t="str">
        <f>REPLACE(INDEX(GroupVertices[Group],MATCH("~"&amp;Edges[[#This Row],[Vertex 1]],GroupVertices[Vertex],0)),1,1,"")</f>
        <v>2</v>
      </c>
      <c r="AD750" s="80" t="str">
        <f>REPLACE(INDEX(GroupVertices[Group],MATCH("~"&amp;Edges[[#This Row],[Vertex 2]],GroupVertices[Vertex],0)),1,1,"")</f>
        <v>2</v>
      </c>
      <c r="AE750" s="105"/>
      <c r="AF750" s="105"/>
      <c r="AG750" s="105"/>
      <c r="AH750" s="105"/>
      <c r="AI750" s="105"/>
      <c r="AJ750" s="105"/>
      <c r="AK750" s="105"/>
      <c r="AL750" s="105"/>
      <c r="AM750" s="105"/>
    </row>
    <row r="751" spans="1:39" ht="15">
      <c r="A751" s="62" t="s">
        <v>285</v>
      </c>
      <c r="B751" s="62" t="s">
        <v>241</v>
      </c>
      <c r="C751" s="63" t="s">
        <v>3598</v>
      </c>
      <c r="D751" s="64">
        <v>5</v>
      </c>
      <c r="E751" s="65" t="s">
        <v>132</v>
      </c>
      <c r="F751" s="66">
        <v>32</v>
      </c>
      <c r="G751" s="63"/>
      <c r="H751" s="67"/>
      <c r="I751" s="68"/>
      <c r="J751" s="68"/>
      <c r="K751" s="31" t="s">
        <v>65</v>
      </c>
      <c r="L751" s="76">
        <v>751</v>
      </c>
      <c r="M751" s="76"/>
      <c r="N751" s="70"/>
      <c r="O751" s="78" t="s">
        <v>305</v>
      </c>
      <c r="P751" s="78" t="s">
        <v>532</v>
      </c>
      <c r="Q751" s="78" t="s">
        <v>1048</v>
      </c>
      <c r="R751" s="78" t="s">
        <v>1514</v>
      </c>
      <c r="S751" s="78"/>
      <c r="T751" s="78"/>
      <c r="U751" s="78"/>
      <c r="V751" s="78"/>
      <c r="W751" s="81" t="s">
        <v>1674</v>
      </c>
      <c r="X751" s="81" t="s">
        <v>1674</v>
      </c>
      <c r="Y751" s="78"/>
      <c r="Z751" s="78"/>
      <c r="AA751" s="81" t="s">
        <v>1674</v>
      </c>
      <c r="AB751" s="79">
        <v>1</v>
      </c>
      <c r="AC751" s="80" t="str">
        <f>REPLACE(INDEX(GroupVertices[Group],MATCH("~"&amp;Edges[[#This Row],[Vertex 1]],GroupVertices[Vertex],0)),1,1,"")</f>
        <v>1</v>
      </c>
      <c r="AD751" s="80" t="str">
        <f>REPLACE(INDEX(GroupVertices[Group],MATCH("~"&amp;Edges[[#This Row],[Vertex 2]],GroupVertices[Vertex],0)),1,1,"")</f>
        <v>2</v>
      </c>
      <c r="AE751" s="105"/>
      <c r="AF751" s="105"/>
      <c r="AG751" s="105"/>
      <c r="AH751" s="105"/>
      <c r="AI751" s="105"/>
      <c r="AJ751" s="105"/>
      <c r="AK751" s="105"/>
      <c r="AL751" s="105"/>
      <c r="AM751" s="105"/>
    </row>
    <row r="752" spans="1:39" ht="15">
      <c r="A752" s="62" t="s">
        <v>253</v>
      </c>
      <c r="B752" s="62" t="s">
        <v>294</v>
      </c>
      <c r="C752" s="63" t="s">
        <v>3602</v>
      </c>
      <c r="D752" s="64">
        <v>5.526315789473684</v>
      </c>
      <c r="E752" s="65" t="s">
        <v>136</v>
      </c>
      <c r="F752" s="66">
        <v>31.0188679245283</v>
      </c>
      <c r="G752" s="63"/>
      <c r="H752" s="67"/>
      <c r="I752" s="68"/>
      <c r="J752" s="68"/>
      <c r="K752" s="31" t="s">
        <v>65</v>
      </c>
      <c r="L752" s="76">
        <v>752</v>
      </c>
      <c r="M752" s="76"/>
      <c r="N752" s="70"/>
      <c r="O752" s="78" t="s">
        <v>305</v>
      </c>
      <c r="P752" s="78" t="s">
        <v>533</v>
      </c>
      <c r="Q752" s="78" t="s">
        <v>1049</v>
      </c>
      <c r="R752" s="78" t="s">
        <v>1515</v>
      </c>
      <c r="S752" s="78"/>
      <c r="T752" s="78"/>
      <c r="U752" s="78"/>
      <c r="V752" s="78"/>
      <c r="W752" s="81" t="s">
        <v>1674</v>
      </c>
      <c r="X752" s="81" t="s">
        <v>1674</v>
      </c>
      <c r="Y752" s="78"/>
      <c r="Z752" s="78"/>
      <c r="AA752" s="81" t="s">
        <v>1674</v>
      </c>
      <c r="AB752" s="79">
        <v>3</v>
      </c>
      <c r="AC752" s="80" t="str">
        <f>REPLACE(INDEX(GroupVertices[Group],MATCH("~"&amp;Edges[[#This Row],[Vertex 1]],GroupVertices[Vertex],0)),1,1,"")</f>
        <v>1</v>
      </c>
      <c r="AD752" s="80" t="str">
        <f>REPLACE(INDEX(GroupVertices[Group],MATCH("~"&amp;Edges[[#This Row],[Vertex 2]],GroupVertices[Vertex],0)),1,1,"")</f>
        <v>2</v>
      </c>
      <c r="AE752" s="105"/>
      <c r="AF752" s="105"/>
      <c r="AG752" s="105"/>
      <c r="AH752" s="105"/>
      <c r="AI752" s="105"/>
      <c r="AJ752" s="105"/>
      <c r="AK752" s="105"/>
      <c r="AL752" s="105"/>
      <c r="AM752" s="105"/>
    </row>
    <row r="753" spans="1:39" ht="15">
      <c r="A753" s="62" t="s">
        <v>253</v>
      </c>
      <c r="B753" s="62" t="s">
        <v>294</v>
      </c>
      <c r="C753" s="63" t="s">
        <v>3602</v>
      </c>
      <c r="D753" s="64">
        <v>5.526315789473684</v>
      </c>
      <c r="E753" s="65" t="s">
        <v>136</v>
      </c>
      <c r="F753" s="66">
        <v>31.0188679245283</v>
      </c>
      <c r="G753" s="63"/>
      <c r="H753" s="67"/>
      <c r="I753" s="68"/>
      <c r="J753" s="68"/>
      <c r="K753" s="31" t="s">
        <v>65</v>
      </c>
      <c r="L753" s="76">
        <v>753</v>
      </c>
      <c r="M753" s="76"/>
      <c r="N753" s="70"/>
      <c r="O753" s="78" t="s">
        <v>305</v>
      </c>
      <c r="P753" s="78" t="s">
        <v>534</v>
      </c>
      <c r="Q753" s="78" t="s">
        <v>1050</v>
      </c>
      <c r="R753" s="78" t="s">
        <v>1516</v>
      </c>
      <c r="S753" s="78"/>
      <c r="T753" s="78"/>
      <c r="U753" s="78"/>
      <c r="V753" s="78"/>
      <c r="W753" s="81" t="s">
        <v>1674</v>
      </c>
      <c r="X753" s="81" t="s">
        <v>1674</v>
      </c>
      <c r="Y753" s="78"/>
      <c r="Z753" s="78"/>
      <c r="AA753" s="81" t="s">
        <v>1674</v>
      </c>
      <c r="AB753" s="79">
        <v>3</v>
      </c>
      <c r="AC753" s="80" t="str">
        <f>REPLACE(INDEX(GroupVertices[Group],MATCH("~"&amp;Edges[[#This Row],[Vertex 1]],GroupVertices[Vertex],0)),1,1,"")</f>
        <v>1</v>
      </c>
      <c r="AD753" s="80" t="str">
        <f>REPLACE(INDEX(GroupVertices[Group],MATCH("~"&amp;Edges[[#This Row],[Vertex 2]],GroupVertices[Vertex],0)),1,1,"")</f>
        <v>2</v>
      </c>
      <c r="AE753" s="105"/>
      <c r="AF753" s="105"/>
      <c r="AG753" s="105"/>
      <c r="AH753" s="105"/>
      <c r="AI753" s="105"/>
      <c r="AJ753" s="105"/>
      <c r="AK753" s="105"/>
      <c r="AL753" s="105"/>
      <c r="AM753" s="105"/>
    </row>
    <row r="754" spans="1:39" ht="15">
      <c r="A754" s="62" t="s">
        <v>253</v>
      </c>
      <c r="B754" s="62" t="s">
        <v>294</v>
      </c>
      <c r="C754" s="63" t="s">
        <v>3602</v>
      </c>
      <c r="D754" s="64">
        <v>5.526315789473684</v>
      </c>
      <c r="E754" s="65" t="s">
        <v>136</v>
      </c>
      <c r="F754" s="66">
        <v>31.0188679245283</v>
      </c>
      <c r="G754" s="63"/>
      <c r="H754" s="67"/>
      <c r="I754" s="68"/>
      <c r="J754" s="68"/>
      <c r="K754" s="31" t="s">
        <v>65</v>
      </c>
      <c r="L754" s="76">
        <v>754</v>
      </c>
      <c r="M754" s="76"/>
      <c r="N754" s="70"/>
      <c r="O754" s="78" t="s">
        <v>305</v>
      </c>
      <c r="P754" s="78" t="s">
        <v>535</v>
      </c>
      <c r="Q754" s="78" t="s">
        <v>1051</v>
      </c>
      <c r="R754" s="78" t="s">
        <v>1517</v>
      </c>
      <c r="S754" s="78"/>
      <c r="T754" s="78"/>
      <c r="U754" s="78"/>
      <c r="V754" s="78"/>
      <c r="W754" s="81" t="s">
        <v>1674</v>
      </c>
      <c r="X754" s="81" t="s">
        <v>1674</v>
      </c>
      <c r="Y754" s="78"/>
      <c r="Z754" s="78"/>
      <c r="AA754" s="81" t="s">
        <v>1674</v>
      </c>
      <c r="AB754" s="79">
        <v>3</v>
      </c>
      <c r="AC754" s="80" t="str">
        <f>REPLACE(INDEX(GroupVertices[Group],MATCH("~"&amp;Edges[[#This Row],[Vertex 1]],GroupVertices[Vertex],0)),1,1,"")</f>
        <v>1</v>
      </c>
      <c r="AD754" s="80" t="str">
        <f>REPLACE(INDEX(GroupVertices[Group],MATCH("~"&amp;Edges[[#This Row],[Vertex 2]],GroupVertices[Vertex],0)),1,1,"")</f>
        <v>2</v>
      </c>
      <c r="AE754" s="105"/>
      <c r="AF754" s="105"/>
      <c r="AG754" s="105"/>
      <c r="AH754" s="105"/>
      <c r="AI754" s="105"/>
      <c r="AJ754" s="105"/>
      <c r="AK754" s="105"/>
      <c r="AL754" s="105"/>
      <c r="AM754" s="105"/>
    </row>
    <row r="755" spans="1:39" ht="15">
      <c r="A755" s="62" t="s">
        <v>253</v>
      </c>
      <c r="B755" s="62" t="s">
        <v>249</v>
      </c>
      <c r="C755" s="63" t="s">
        <v>3598</v>
      </c>
      <c r="D755" s="64">
        <v>5.2631578947368425</v>
      </c>
      <c r="E755" s="65" t="s">
        <v>136</v>
      </c>
      <c r="F755" s="66">
        <v>31.50943396226415</v>
      </c>
      <c r="G755" s="63"/>
      <c r="H755" s="67"/>
      <c r="I755" s="68"/>
      <c r="J755" s="68"/>
      <c r="K755" s="31" t="s">
        <v>65</v>
      </c>
      <c r="L755" s="76">
        <v>755</v>
      </c>
      <c r="M755" s="76"/>
      <c r="N755" s="70"/>
      <c r="O755" s="78" t="s">
        <v>305</v>
      </c>
      <c r="P755" s="78" t="s">
        <v>536</v>
      </c>
      <c r="Q755" s="78" t="s">
        <v>1052</v>
      </c>
      <c r="R755" s="78" t="s">
        <v>1518</v>
      </c>
      <c r="S755" s="78"/>
      <c r="T755" s="78"/>
      <c r="U755" s="78"/>
      <c r="V755" s="78"/>
      <c r="W755" s="81" t="s">
        <v>1674</v>
      </c>
      <c r="X755" s="81" t="s">
        <v>1674</v>
      </c>
      <c r="Y755" s="78"/>
      <c r="Z755" s="78"/>
      <c r="AA755" s="81" t="s">
        <v>1674</v>
      </c>
      <c r="AB755" s="79">
        <v>2</v>
      </c>
      <c r="AC755" s="80" t="str">
        <f>REPLACE(INDEX(GroupVertices[Group],MATCH("~"&amp;Edges[[#This Row],[Vertex 1]],GroupVertices[Vertex],0)),1,1,"")</f>
        <v>1</v>
      </c>
      <c r="AD755" s="80" t="str">
        <f>REPLACE(INDEX(GroupVertices[Group],MATCH("~"&amp;Edges[[#This Row],[Vertex 2]],GroupVertices[Vertex],0)),1,1,"")</f>
        <v>2</v>
      </c>
      <c r="AE755" s="105"/>
      <c r="AF755" s="105"/>
      <c r="AG755" s="105"/>
      <c r="AH755" s="105"/>
      <c r="AI755" s="105"/>
      <c r="AJ755" s="105"/>
      <c r="AK755" s="105"/>
      <c r="AL755" s="105"/>
      <c r="AM755" s="105"/>
    </row>
    <row r="756" spans="1:39" ht="15">
      <c r="A756" s="62" t="s">
        <v>253</v>
      </c>
      <c r="B756" s="62" t="s">
        <v>249</v>
      </c>
      <c r="C756" s="63" t="s">
        <v>3598</v>
      </c>
      <c r="D756" s="64">
        <v>5.2631578947368425</v>
      </c>
      <c r="E756" s="65" t="s">
        <v>136</v>
      </c>
      <c r="F756" s="66">
        <v>31.50943396226415</v>
      </c>
      <c r="G756" s="63"/>
      <c r="H756" s="67"/>
      <c r="I756" s="68"/>
      <c r="J756" s="68"/>
      <c r="K756" s="31" t="s">
        <v>65</v>
      </c>
      <c r="L756" s="76">
        <v>756</v>
      </c>
      <c r="M756" s="76"/>
      <c r="N756" s="70"/>
      <c r="O756" s="78" t="s">
        <v>305</v>
      </c>
      <c r="P756" s="78" t="s">
        <v>536</v>
      </c>
      <c r="Q756" s="78" t="s">
        <v>1053</v>
      </c>
      <c r="R756" s="78" t="s">
        <v>1518</v>
      </c>
      <c r="S756" s="78"/>
      <c r="T756" s="78"/>
      <c r="U756" s="78"/>
      <c r="V756" s="78"/>
      <c r="W756" s="81" t="s">
        <v>1674</v>
      </c>
      <c r="X756" s="81" t="s">
        <v>1674</v>
      </c>
      <c r="Y756" s="78"/>
      <c r="Z756" s="78"/>
      <c r="AA756" s="81" t="s">
        <v>1674</v>
      </c>
      <c r="AB756" s="79">
        <v>2</v>
      </c>
      <c r="AC756" s="80" t="str">
        <f>REPLACE(INDEX(GroupVertices[Group],MATCH("~"&amp;Edges[[#This Row],[Vertex 1]],GroupVertices[Vertex],0)),1,1,"")</f>
        <v>1</v>
      </c>
      <c r="AD756" s="80" t="str">
        <f>REPLACE(INDEX(GroupVertices[Group],MATCH("~"&amp;Edges[[#This Row],[Vertex 2]],GroupVertices[Vertex],0)),1,1,"")</f>
        <v>2</v>
      </c>
      <c r="AE756" s="105"/>
      <c r="AF756" s="105"/>
      <c r="AG756" s="105"/>
      <c r="AH756" s="105"/>
      <c r="AI756" s="105"/>
      <c r="AJ756" s="105"/>
      <c r="AK756" s="105"/>
      <c r="AL756" s="105"/>
      <c r="AM756" s="105"/>
    </row>
    <row r="757" spans="1:39" ht="15">
      <c r="A757" s="62" t="s">
        <v>253</v>
      </c>
      <c r="B757" s="62" t="s">
        <v>251</v>
      </c>
      <c r="C757" s="63" t="s">
        <v>3599</v>
      </c>
      <c r="D757" s="64">
        <v>6.315789473684211</v>
      </c>
      <c r="E757" s="65" t="s">
        <v>136</v>
      </c>
      <c r="F757" s="66">
        <v>29.547169811320757</v>
      </c>
      <c r="G757" s="63"/>
      <c r="H757" s="67"/>
      <c r="I757" s="68"/>
      <c r="J757" s="68"/>
      <c r="K757" s="31" t="s">
        <v>65</v>
      </c>
      <c r="L757" s="76">
        <v>757</v>
      </c>
      <c r="M757" s="76"/>
      <c r="N757" s="70"/>
      <c r="O757" s="78" t="s">
        <v>305</v>
      </c>
      <c r="P757" s="78" t="s">
        <v>355</v>
      </c>
      <c r="Q757" s="78" t="s">
        <v>719</v>
      </c>
      <c r="R757" s="78" t="s">
        <v>711</v>
      </c>
      <c r="S757" s="78"/>
      <c r="T757" s="78"/>
      <c r="U757" s="78"/>
      <c r="V757" s="78"/>
      <c r="W757" s="81" t="s">
        <v>1674</v>
      </c>
      <c r="X757" s="81" t="s">
        <v>1674</v>
      </c>
      <c r="Y757" s="78"/>
      <c r="Z757" s="78"/>
      <c r="AA757" s="81" t="s">
        <v>1674</v>
      </c>
      <c r="AB757" s="79">
        <v>6</v>
      </c>
      <c r="AC757" s="80" t="str">
        <f>REPLACE(INDEX(GroupVertices[Group],MATCH("~"&amp;Edges[[#This Row],[Vertex 1]],GroupVertices[Vertex],0)),1,1,"")</f>
        <v>1</v>
      </c>
      <c r="AD757" s="80" t="str">
        <f>REPLACE(INDEX(GroupVertices[Group],MATCH("~"&amp;Edges[[#This Row],[Vertex 2]],GroupVertices[Vertex],0)),1,1,"")</f>
        <v>3</v>
      </c>
      <c r="AE757" s="105"/>
      <c r="AF757" s="105"/>
      <c r="AG757" s="105"/>
      <c r="AH757" s="105"/>
      <c r="AI757" s="105"/>
      <c r="AJ757" s="105"/>
      <c r="AK757" s="105"/>
      <c r="AL757" s="105"/>
      <c r="AM757" s="105"/>
    </row>
    <row r="758" spans="1:39" ht="15">
      <c r="A758" s="62" t="s">
        <v>253</v>
      </c>
      <c r="B758" s="62" t="s">
        <v>251</v>
      </c>
      <c r="C758" s="63" t="s">
        <v>3599</v>
      </c>
      <c r="D758" s="64">
        <v>6.315789473684211</v>
      </c>
      <c r="E758" s="65" t="s">
        <v>136</v>
      </c>
      <c r="F758" s="66">
        <v>29.547169811320757</v>
      </c>
      <c r="G758" s="63"/>
      <c r="H758" s="67"/>
      <c r="I758" s="68"/>
      <c r="J758" s="68"/>
      <c r="K758" s="31" t="s">
        <v>65</v>
      </c>
      <c r="L758" s="76">
        <v>758</v>
      </c>
      <c r="M758" s="76"/>
      <c r="N758" s="70"/>
      <c r="O758" s="78" t="s">
        <v>305</v>
      </c>
      <c r="P758" s="78" t="s">
        <v>355</v>
      </c>
      <c r="Q758" s="78" t="s">
        <v>719</v>
      </c>
      <c r="R758" s="78" t="s">
        <v>711</v>
      </c>
      <c r="S758" s="78"/>
      <c r="T758" s="78"/>
      <c r="U758" s="78"/>
      <c r="V758" s="78"/>
      <c r="W758" s="81" t="s">
        <v>1674</v>
      </c>
      <c r="X758" s="81" t="s">
        <v>1674</v>
      </c>
      <c r="Y758" s="78"/>
      <c r="Z758" s="78"/>
      <c r="AA758" s="81" t="s">
        <v>1674</v>
      </c>
      <c r="AB758" s="79">
        <v>6</v>
      </c>
      <c r="AC758" s="80" t="str">
        <f>REPLACE(INDEX(GroupVertices[Group],MATCH("~"&amp;Edges[[#This Row],[Vertex 1]],GroupVertices[Vertex],0)),1,1,"")</f>
        <v>1</v>
      </c>
      <c r="AD758" s="80" t="str">
        <f>REPLACE(INDEX(GroupVertices[Group],MATCH("~"&amp;Edges[[#This Row],[Vertex 2]],GroupVertices[Vertex],0)),1,1,"")</f>
        <v>3</v>
      </c>
      <c r="AE758" s="105"/>
      <c r="AF758" s="105"/>
      <c r="AG758" s="105"/>
      <c r="AH758" s="105"/>
      <c r="AI758" s="105"/>
      <c r="AJ758" s="105"/>
      <c r="AK758" s="105"/>
      <c r="AL758" s="105"/>
      <c r="AM758" s="105"/>
    </row>
    <row r="759" spans="1:39" ht="15">
      <c r="A759" s="62" t="s">
        <v>253</v>
      </c>
      <c r="B759" s="62" t="s">
        <v>251</v>
      </c>
      <c r="C759" s="63" t="s">
        <v>3599</v>
      </c>
      <c r="D759" s="64">
        <v>6.315789473684211</v>
      </c>
      <c r="E759" s="65" t="s">
        <v>136</v>
      </c>
      <c r="F759" s="66">
        <v>29.547169811320757</v>
      </c>
      <c r="G759" s="63"/>
      <c r="H759" s="67"/>
      <c r="I759" s="68"/>
      <c r="J759" s="68"/>
      <c r="K759" s="31" t="s">
        <v>65</v>
      </c>
      <c r="L759" s="76">
        <v>759</v>
      </c>
      <c r="M759" s="76"/>
      <c r="N759" s="70"/>
      <c r="O759" s="78" t="s">
        <v>305</v>
      </c>
      <c r="P759" s="78" t="s">
        <v>355</v>
      </c>
      <c r="Q759" s="78" t="s">
        <v>720</v>
      </c>
      <c r="R759" s="78" t="s">
        <v>711</v>
      </c>
      <c r="S759" s="78"/>
      <c r="T759" s="78"/>
      <c r="U759" s="78"/>
      <c r="V759" s="78"/>
      <c r="W759" s="81" t="s">
        <v>1674</v>
      </c>
      <c r="X759" s="81" t="s">
        <v>1674</v>
      </c>
      <c r="Y759" s="78"/>
      <c r="Z759" s="78"/>
      <c r="AA759" s="81" t="s">
        <v>1674</v>
      </c>
      <c r="AB759" s="79">
        <v>6</v>
      </c>
      <c r="AC759" s="80" t="str">
        <f>REPLACE(INDEX(GroupVertices[Group],MATCH("~"&amp;Edges[[#This Row],[Vertex 1]],GroupVertices[Vertex],0)),1,1,"")</f>
        <v>1</v>
      </c>
      <c r="AD759" s="80" t="str">
        <f>REPLACE(INDEX(GroupVertices[Group],MATCH("~"&amp;Edges[[#This Row],[Vertex 2]],GroupVertices[Vertex],0)),1,1,"")</f>
        <v>3</v>
      </c>
      <c r="AE759" s="105"/>
      <c r="AF759" s="105"/>
      <c r="AG759" s="105"/>
      <c r="AH759" s="105"/>
      <c r="AI759" s="105"/>
      <c r="AJ759" s="105"/>
      <c r="AK759" s="105"/>
      <c r="AL759" s="105"/>
      <c r="AM759" s="105"/>
    </row>
    <row r="760" spans="1:39" ht="15">
      <c r="A760" s="62" t="s">
        <v>253</v>
      </c>
      <c r="B760" s="62" t="s">
        <v>251</v>
      </c>
      <c r="C760" s="63" t="s">
        <v>3599</v>
      </c>
      <c r="D760" s="64">
        <v>6.315789473684211</v>
      </c>
      <c r="E760" s="65" t="s">
        <v>136</v>
      </c>
      <c r="F760" s="66">
        <v>29.547169811320757</v>
      </c>
      <c r="G760" s="63"/>
      <c r="H760" s="67"/>
      <c r="I760" s="68"/>
      <c r="J760" s="68"/>
      <c r="K760" s="31" t="s">
        <v>65</v>
      </c>
      <c r="L760" s="76">
        <v>760</v>
      </c>
      <c r="M760" s="76"/>
      <c r="N760" s="70"/>
      <c r="O760" s="78" t="s">
        <v>305</v>
      </c>
      <c r="P760" s="78" t="s">
        <v>355</v>
      </c>
      <c r="Q760" s="78" t="s">
        <v>720</v>
      </c>
      <c r="R760" s="78" t="s">
        <v>711</v>
      </c>
      <c r="S760" s="78"/>
      <c r="T760" s="78"/>
      <c r="U760" s="78"/>
      <c r="V760" s="78"/>
      <c r="W760" s="81" t="s">
        <v>1674</v>
      </c>
      <c r="X760" s="81" t="s">
        <v>1674</v>
      </c>
      <c r="Y760" s="78"/>
      <c r="Z760" s="78"/>
      <c r="AA760" s="81" t="s">
        <v>1674</v>
      </c>
      <c r="AB760" s="79">
        <v>6</v>
      </c>
      <c r="AC760" s="80" t="str">
        <f>REPLACE(INDEX(GroupVertices[Group],MATCH("~"&amp;Edges[[#This Row],[Vertex 1]],GroupVertices[Vertex],0)),1,1,"")</f>
        <v>1</v>
      </c>
      <c r="AD760" s="80" t="str">
        <f>REPLACE(INDEX(GroupVertices[Group],MATCH("~"&amp;Edges[[#This Row],[Vertex 2]],GroupVertices[Vertex],0)),1,1,"")</f>
        <v>3</v>
      </c>
      <c r="AE760" s="105"/>
      <c r="AF760" s="105"/>
      <c r="AG760" s="105"/>
      <c r="AH760" s="105"/>
      <c r="AI760" s="105"/>
      <c r="AJ760" s="105"/>
      <c r="AK760" s="105"/>
      <c r="AL760" s="105"/>
      <c r="AM760" s="105"/>
    </row>
    <row r="761" spans="1:39" ht="15">
      <c r="A761" s="62" t="s">
        <v>253</v>
      </c>
      <c r="B761" s="62" t="s">
        <v>251</v>
      </c>
      <c r="C761" s="63" t="s">
        <v>3599</v>
      </c>
      <c r="D761" s="64">
        <v>6.315789473684211</v>
      </c>
      <c r="E761" s="65" t="s">
        <v>136</v>
      </c>
      <c r="F761" s="66">
        <v>29.547169811320757</v>
      </c>
      <c r="G761" s="63"/>
      <c r="H761" s="67"/>
      <c r="I761" s="68"/>
      <c r="J761" s="68"/>
      <c r="K761" s="31" t="s">
        <v>65</v>
      </c>
      <c r="L761" s="76">
        <v>761</v>
      </c>
      <c r="M761" s="76"/>
      <c r="N761" s="70"/>
      <c r="O761" s="78" t="s">
        <v>305</v>
      </c>
      <c r="P761" s="78" t="s">
        <v>355</v>
      </c>
      <c r="Q761" s="78" t="s">
        <v>721</v>
      </c>
      <c r="R761" s="78" t="s">
        <v>711</v>
      </c>
      <c r="S761" s="78"/>
      <c r="T761" s="78"/>
      <c r="U761" s="78"/>
      <c r="V761" s="78"/>
      <c r="W761" s="81" t="s">
        <v>1674</v>
      </c>
      <c r="X761" s="81" t="s">
        <v>1674</v>
      </c>
      <c r="Y761" s="78"/>
      <c r="Z761" s="78"/>
      <c r="AA761" s="81" t="s">
        <v>1674</v>
      </c>
      <c r="AB761" s="79">
        <v>6</v>
      </c>
      <c r="AC761" s="80" t="str">
        <f>REPLACE(INDEX(GroupVertices[Group],MATCH("~"&amp;Edges[[#This Row],[Vertex 1]],GroupVertices[Vertex],0)),1,1,"")</f>
        <v>1</v>
      </c>
      <c r="AD761" s="80" t="str">
        <f>REPLACE(INDEX(GroupVertices[Group],MATCH("~"&amp;Edges[[#This Row],[Vertex 2]],GroupVertices[Vertex],0)),1,1,"")</f>
        <v>3</v>
      </c>
      <c r="AE761" s="105"/>
      <c r="AF761" s="105"/>
      <c r="AG761" s="105"/>
      <c r="AH761" s="105"/>
      <c r="AI761" s="105"/>
      <c r="AJ761" s="105"/>
      <c r="AK761" s="105"/>
      <c r="AL761" s="105"/>
      <c r="AM761" s="105"/>
    </row>
    <row r="762" spans="1:39" ht="15">
      <c r="A762" s="62" t="s">
        <v>253</v>
      </c>
      <c r="B762" s="62" t="s">
        <v>251</v>
      </c>
      <c r="C762" s="63" t="s">
        <v>3599</v>
      </c>
      <c r="D762" s="64">
        <v>6.315789473684211</v>
      </c>
      <c r="E762" s="65" t="s">
        <v>136</v>
      </c>
      <c r="F762" s="66">
        <v>29.547169811320757</v>
      </c>
      <c r="G762" s="63"/>
      <c r="H762" s="67"/>
      <c r="I762" s="68"/>
      <c r="J762" s="68"/>
      <c r="K762" s="31" t="s">
        <v>65</v>
      </c>
      <c r="L762" s="76">
        <v>762</v>
      </c>
      <c r="M762" s="76"/>
      <c r="N762" s="70"/>
      <c r="O762" s="78" t="s">
        <v>305</v>
      </c>
      <c r="P762" s="78" t="s">
        <v>355</v>
      </c>
      <c r="Q762" s="78" t="s">
        <v>721</v>
      </c>
      <c r="R762" s="78" t="s">
        <v>711</v>
      </c>
      <c r="S762" s="78"/>
      <c r="T762" s="78"/>
      <c r="U762" s="78"/>
      <c r="V762" s="78"/>
      <c r="W762" s="81" t="s">
        <v>1674</v>
      </c>
      <c r="X762" s="81" t="s">
        <v>1674</v>
      </c>
      <c r="Y762" s="78"/>
      <c r="Z762" s="78"/>
      <c r="AA762" s="81" t="s">
        <v>1674</v>
      </c>
      <c r="AB762" s="79">
        <v>6</v>
      </c>
      <c r="AC762" s="80" t="str">
        <f>REPLACE(INDEX(GroupVertices[Group],MATCH("~"&amp;Edges[[#This Row],[Vertex 1]],GroupVertices[Vertex],0)),1,1,"")</f>
        <v>1</v>
      </c>
      <c r="AD762" s="80" t="str">
        <f>REPLACE(INDEX(GroupVertices[Group],MATCH("~"&amp;Edges[[#This Row],[Vertex 2]],GroupVertices[Vertex],0)),1,1,"")</f>
        <v>3</v>
      </c>
      <c r="AE762" s="105"/>
      <c r="AF762" s="105"/>
      <c r="AG762" s="105"/>
      <c r="AH762" s="105"/>
      <c r="AI762" s="105"/>
      <c r="AJ762" s="105"/>
      <c r="AK762" s="105"/>
      <c r="AL762" s="105"/>
      <c r="AM762" s="105"/>
    </row>
    <row r="763" spans="1:39" ht="15">
      <c r="A763" s="62" t="s">
        <v>245</v>
      </c>
      <c r="B763" s="62" t="s">
        <v>253</v>
      </c>
      <c r="C763" s="63" t="s">
        <v>3598</v>
      </c>
      <c r="D763" s="64">
        <v>5</v>
      </c>
      <c r="E763" s="65" t="s">
        <v>132</v>
      </c>
      <c r="F763" s="66">
        <v>32</v>
      </c>
      <c r="G763" s="63"/>
      <c r="H763" s="67"/>
      <c r="I763" s="68"/>
      <c r="J763" s="68"/>
      <c r="K763" s="31" t="s">
        <v>65</v>
      </c>
      <c r="L763" s="76">
        <v>763</v>
      </c>
      <c r="M763" s="76"/>
      <c r="N763" s="70"/>
      <c r="O763" s="78" t="s">
        <v>305</v>
      </c>
      <c r="P763" s="78" t="s">
        <v>535</v>
      </c>
      <c r="Q763" s="78" t="s">
        <v>1054</v>
      </c>
      <c r="R763" s="78" t="s">
        <v>1051</v>
      </c>
      <c r="S763" s="78"/>
      <c r="T763" s="78"/>
      <c r="U763" s="78"/>
      <c r="V763" s="78"/>
      <c r="W763" s="81" t="s">
        <v>1674</v>
      </c>
      <c r="X763" s="81" t="s">
        <v>1674</v>
      </c>
      <c r="Y763" s="78"/>
      <c r="Z763" s="78"/>
      <c r="AA763" s="81" t="s">
        <v>1674</v>
      </c>
      <c r="AB763" s="79">
        <v>1</v>
      </c>
      <c r="AC763" s="80" t="str">
        <f>REPLACE(INDEX(GroupVertices[Group],MATCH("~"&amp;Edges[[#This Row],[Vertex 1]],GroupVertices[Vertex],0)),1,1,"")</f>
        <v>1</v>
      </c>
      <c r="AD763" s="80" t="str">
        <f>REPLACE(INDEX(GroupVertices[Group],MATCH("~"&amp;Edges[[#This Row],[Vertex 2]],GroupVertices[Vertex],0)),1,1,"")</f>
        <v>1</v>
      </c>
      <c r="AE763" s="105"/>
      <c r="AF763" s="105"/>
      <c r="AG763" s="105"/>
      <c r="AH763" s="105"/>
      <c r="AI763" s="105"/>
      <c r="AJ763" s="105"/>
      <c r="AK763" s="105"/>
      <c r="AL763" s="105"/>
      <c r="AM763" s="105"/>
    </row>
    <row r="764" spans="1:39" ht="15">
      <c r="A764" s="62" t="s">
        <v>254</v>
      </c>
      <c r="B764" s="62" t="s">
        <v>253</v>
      </c>
      <c r="C764" s="63" t="s">
        <v>3598</v>
      </c>
      <c r="D764" s="64">
        <v>5.2631578947368425</v>
      </c>
      <c r="E764" s="65" t="s">
        <v>136</v>
      </c>
      <c r="F764" s="66">
        <v>31.50943396226415</v>
      </c>
      <c r="G764" s="63"/>
      <c r="H764" s="67"/>
      <c r="I764" s="68"/>
      <c r="J764" s="68"/>
      <c r="K764" s="31" t="s">
        <v>65</v>
      </c>
      <c r="L764" s="76">
        <v>764</v>
      </c>
      <c r="M764" s="76"/>
      <c r="N764" s="70"/>
      <c r="O764" s="78" t="s">
        <v>305</v>
      </c>
      <c r="P764" s="78" t="s">
        <v>536</v>
      </c>
      <c r="Q764" s="78" t="s">
        <v>1055</v>
      </c>
      <c r="R764" s="78" t="s">
        <v>1052</v>
      </c>
      <c r="S764" s="78"/>
      <c r="T764" s="78"/>
      <c r="U764" s="78"/>
      <c r="V764" s="78"/>
      <c r="W764" s="81" t="s">
        <v>1674</v>
      </c>
      <c r="X764" s="81" t="s">
        <v>1674</v>
      </c>
      <c r="Y764" s="78"/>
      <c r="Z764" s="78"/>
      <c r="AA764" s="81" t="s">
        <v>1674</v>
      </c>
      <c r="AB764" s="79">
        <v>2</v>
      </c>
      <c r="AC764" s="80" t="str">
        <f>REPLACE(INDEX(GroupVertices[Group],MATCH("~"&amp;Edges[[#This Row],[Vertex 1]],GroupVertices[Vertex],0)),1,1,"")</f>
        <v>2</v>
      </c>
      <c r="AD764" s="80" t="str">
        <f>REPLACE(INDEX(GroupVertices[Group],MATCH("~"&amp;Edges[[#This Row],[Vertex 2]],GroupVertices[Vertex],0)),1,1,"")</f>
        <v>1</v>
      </c>
      <c r="AE764" s="105"/>
      <c r="AF764" s="105"/>
      <c r="AG764" s="105"/>
      <c r="AH764" s="105"/>
      <c r="AI764" s="105"/>
      <c r="AJ764" s="105"/>
      <c r="AK764" s="105"/>
      <c r="AL764" s="105"/>
      <c r="AM764" s="105"/>
    </row>
    <row r="765" spans="1:39" ht="15">
      <c r="A765" s="62" t="s">
        <v>254</v>
      </c>
      <c r="B765" s="62" t="s">
        <v>253</v>
      </c>
      <c r="C765" s="63" t="s">
        <v>3598</v>
      </c>
      <c r="D765" s="64">
        <v>5.2631578947368425</v>
      </c>
      <c r="E765" s="65" t="s">
        <v>136</v>
      </c>
      <c r="F765" s="66">
        <v>31.50943396226415</v>
      </c>
      <c r="G765" s="63"/>
      <c r="H765" s="67"/>
      <c r="I765" s="68"/>
      <c r="J765" s="68"/>
      <c r="K765" s="31" t="s">
        <v>65</v>
      </c>
      <c r="L765" s="76">
        <v>765</v>
      </c>
      <c r="M765" s="76"/>
      <c r="N765" s="70"/>
      <c r="O765" s="78" t="s">
        <v>305</v>
      </c>
      <c r="P765" s="78" t="s">
        <v>536</v>
      </c>
      <c r="Q765" s="78" t="s">
        <v>1055</v>
      </c>
      <c r="R765" s="78" t="s">
        <v>1053</v>
      </c>
      <c r="S765" s="78"/>
      <c r="T765" s="78"/>
      <c r="U765" s="78"/>
      <c r="V765" s="78"/>
      <c r="W765" s="81" t="s">
        <v>1674</v>
      </c>
      <c r="X765" s="81" t="s">
        <v>1674</v>
      </c>
      <c r="Y765" s="78"/>
      <c r="Z765" s="78"/>
      <c r="AA765" s="81" t="s">
        <v>1674</v>
      </c>
      <c r="AB765" s="79">
        <v>2</v>
      </c>
      <c r="AC765" s="80" t="str">
        <f>REPLACE(INDEX(GroupVertices[Group],MATCH("~"&amp;Edges[[#This Row],[Vertex 1]],GroupVertices[Vertex],0)),1,1,"")</f>
        <v>2</v>
      </c>
      <c r="AD765" s="80" t="str">
        <f>REPLACE(INDEX(GroupVertices[Group],MATCH("~"&amp;Edges[[#This Row],[Vertex 2]],GroupVertices[Vertex],0)),1,1,"")</f>
        <v>1</v>
      </c>
      <c r="AE765" s="105"/>
      <c r="AF765" s="105"/>
      <c r="AG765" s="105"/>
      <c r="AH765" s="105"/>
      <c r="AI765" s="105"/>
      <c r="AJ765" s="105"/>
      <c r="AK765" s="105"/>
      <c r="AL765" s="105"/>
      <c r="AM765" s="105"/>
    </row>
    <row r="766" spans="1:39" ht="15">
      <c r="A766" s="62" t="s">
        <v>256</v>
      </c>
      <c r="B766" s="62" t="s">
        <v>253</v>
      </c>
      <c r="C766" s="63" t="s">
        <v>3599</v>
      </c>
      <c r="D766" s="64">
        <v>6.052631578947368</v>
      </c>
      <c r="E766" s="65" t="s">
        <v>136</v>
      </c>
      <c r="F766" s="66">
        <v>30.037735849056602</v>
      </c>
      <c r="G766" s="63"/>
      <c r="H766" s="67"/>
      <c r="I766" s="68"/>
      <c r="J766" s="68"/>
      <c r="K766" s="31" t="s">
        <v>65</v>
      </c>
      <c r="L766" s="76">
        <v>766</v>
      </c>
      <c r="M766" s="76"/>
      <c r="N766" s="70"/>
      <c r="O766" s="78" t="s">
        <v>305</v>
      </c>
      <c r="P766" s="78" t="s">
        <v>537</v>
      </c>
      <c r="Q766" s="78" t="s">
        <v>1056</v>
      </c>
      <c r="R766" s="78" t="s">
        <v>1519</v>
      </c>
      <c r="S766" s="78"/>
      <c r="T766" s="78"/>
      <c r="U766" s="78"/>
      <c r="V766" s="78"/>
      <c r="W766" s="81" t="s">
        <v>1674</v>
      </c>
      <c r="X766" s="81" t="s">
        <v>1674</v>
      </c>
      <c r="Y766" s="78"/>
      <c r="Z766" s="78"/>
      <c r="AA766" s="81" t="s">
        <v>1674</v>
      </c>
      <c r="AB766" s="79">
        <v>5</v>
      </c>
      <c r="AC766" s="80" t="str">
        <f>REPLACE(INDEX(GroupVertices[Group],MATCH("~"&amp;Edges[[#This Row],[Vertex 1]],GroupVertices[Vertex],0)),1,1,"")</f>
        <v>1</v>
      </c>
      <c r="AD766" s="80" t="str">
        <f>REPLACE(INDEX(GroupVertices[Group],MATCH("~"&amp;Edges[[#This Row],[Vertex 2]],GroupVertices[Vertex],0)),1,1,"")</f>
        <v>1</v>
      </c>
      <c r="AE766" s="105"/>
      <c r="AF766" s="105"/>
      <c r="AG766" s="105"/>
      <c r="AH766" s="105"/>
      <c r="AI766" s="105"/>
      <c r="AJ766" s="105"/>
      <c r="AK766" s="105"/>
      <c r="AL766" s="105"/>
      <c r="AM766" s="105"/>
    </row>
    <row r="767" spans="1:39" ht="15">
      <c r="A767" s="62" t="s">
        <v>256</v>
      </c>
      <c r="B767" s="62" t="s">
        <v>253</v>
      </c>
      <c r="C767" s="63" t="s">
        <v>3599</v>
      </c>
      <c r="D767" s="64">
        <v>6.052631578947368</v>
      </c>
      <c r="E767" s="65" t="s">
        <v>136</v>
      </c>
      <c r="F767" s="66">
        <v>30.037735849056602</v>
      </c>
      <c r="G767" s="63"/>
      <c r="H767" s="67"/>
      <c r="I767" s="68"/>
      <c r="J767" s="68"/>
      <c r="K767" s="31" t="s">
        <v>65</v>
      </c>
      <c r="L767" s="76">
        <v>767</v>
      </c>
      <c r="M767" s="76"/>
      <c r="N767" s="70"/>
      <c r="O767" s="78" t="s">
        <v>305</v>
      </c>
      <c r="P767" s="78" t="s">
        <v>535</v>
      </c>
      <c r="Q767" s="78" t="s">
        <v>1057</v>
      </c>
      <c r="R767" s="78" t="s">
        <v>1051</v>
      </c>
      <c r="S767" s="78"/>
      <c r="T767" s="78"/>
      <c r="U767" s="78"/>
      <c r="V767" s="78"/>
      <c r="W767" s="81" t="s">
        <v>1674</v>
      </c>
      <c r="X767" s="81" t="s">
        <v>1674</v>
      </c>
      <c r="Y767" s="78"/>
      <c r="Z767" s="78"/>
      <c r="AA767" s="81" t="s">
        <v>1674</v>
      </c>
      <c r="AB767" s="79">
        <v>5</v>
      </c>
      <c r="AC767" s="80" t="str">
        <f>REPLACE(INDEX(GroupVertices[Group],MATCH("~"&amp;Edges[[#This Row],[Vertex 1]],GroupVertices[Vertex],0)),1,1,"")</f>
        <v>1</v>
      </c>
      <c r="AD767" s="80" t="str">
        <f>REPLACE(INDEX(GroupVertices[Group],MATCH("~"&amp;Edges[[#This Row],[Vertex 2]],GroupVertices[Vertex],0)),1,1,"")</f>
        <v>1</v>
      </c>
      <c r="AE767" s="105"/>
      <c r="AF767" s="105"/>
      <c r="AG767" s="105"/>
      <c r="AH767" s="105"/>
      <c r="AI767" s="105"/>
      <c r="AJ767" s="105"/>
      <c r="AK767" s="105"/>
      <c r="AL767" s="105"/>
      <c r="AM767" s="105"/>
    </row>
    <row r="768" spans="1:39" ht="15">
      <c r="A768" s="62" t="s">
        <v>256</v>
      </c>
      <c r="B768" s="62" t="s">
        <v>253</v>
      </c>
      <c r="C768" s="63" t="s">
        <v>3599</v>
      </c>
      <c r="D768" s="64">
        <v>6.052631578947368</v>
      </c>
      <c r="E768" s="65" t="s">
        <v>136</v>
      </c>
      <c r="F768" s="66">
        <v>30.037735849056602</v>
      </c>
      <c r="G768" s="63"/>
      <c r="H768" s="67"/>
      <c r="I768" s="68"/>
      <c r="J768" s="68"/>
      <c r="K768" s="31" t="s">
        <v>65</v>
      </c>
      <c r="L768" s="76">
        <v>768</v>
      </c>
      <c r="M768" s="76"/>
      <c r="N768" s="70"/>
      <c r="O768" s="78" t="s">
        <v>305</v>
      </c>
      <c r="P768" s="78" t="s">
        <v>535</v>
      </c>
      <c r="Q768" s="78" t="s">
        <v>1058</v>
      </c>
      <c r="R768" s="78" t="s">
        <v>1051</v>
      </c>
      <c r="S768" s="78"/>
      <c r="T768" s="78"/>
      <c r="U768" s="78"/>
      <c r="V768" s="78"/>
      <c r="W768" s="81" t="s">
        <v>1674</v>
      </c>
      <c r="X768" s="81" t="s">
        <v>1674</v>
      </c>
      <c r="Y768" s="78"/>
      <c r="Z768" s="78"/>
      <c r="AA768" s="81" t="s">
        <v>1674</v>
      </c>
      <c r="AB768" s="79">
        <v>5</v>
      </c>
      <c r="AC768" s="80" t="str">
        <f>REPLACE(INDEX(GroupVertices[Group],MATCH("~"&amp;Edges[[#This Row],[Vertex 1]],GroupVertices[Vertex],0)),1,1,"")</f>
        <v>1</v>
      </c>
      <c r="AD768" s="80" t="str">
        <f>REPLACE(INDEX(GroupVertices[Group],MATCH("~"&amp;Edges[[#This Row],[Vertex 2]],GroupVertices[Vertex],0)),1,1,"")</f>
        <v>1</v>
      </c>
      <c r="AE768" s="105"/>
      <c r="AF768" s="105"/>
      <c r="AG768" s="105"/>
      <c r="AH768" s="105"/>
      <c r="AI768" s="105"/>
      <c r="AJ768" s="105"/>
      <c r="AK768" s="105"/>
      <c r="AL768" s="105"/>
      <c r="AM768" s="105"/>
    </row>
    <row r="769" spans="1:39" ht="15">
      <c r="A769" s="62" t="s">
        <v>256</v>
      </c>
      <c r="B769" s="62" t="s">
        <v>253</v>
      </c>
      <c r="C769" s="63" t="s">
        <v>3599</v>
      </c>
      <c r="D769" s="64">
        <v>6.052631578947368</v>
      </c>
      <c r="E769" s="65" t="s">
        <v>136</v>
      </c>
      <c r="F769" s="66">
        <v>30.037735849056602</v>
      </c>
      <c r="G769" s="63"/>
      <c r="H769" s="67"/>
      <c r="I769" s="68"/>
      <c r="J769" s="68"/>
      <c r="K769" s="31" t="s">
        <v>65</v>
      </c>
      <c r="L769" s="76">
        <v>769</v>
      </c>
      <c r="M769" s="76"/>
      <c r="N769" s="70"/>
      <c r="O769" s="78" t="s">
        <v>305</v>
      </c>
      <c r="P769" s="78" t="s">
        <v>536</v>
      </c>
      <c r="Q769" s="78" t="s">
        <v>1059</v>
      </c>
      <c r="R769" s="78" t="s">
        <v>1052</v>
      </c>
      <c r="S769" s="78"/>
      <c r="T769" s="78"/>
      <c r="U769" s="78"/>
      <c r="V769" s="78"/>
      <c r="W769" s="81" t="s">
        <v>1674</v>
      </c>
      <c r="X769" s="81" t="s">
        <v>1674</v>
      </c>
      <c r="Y769" s="78"/>
      <c r="Z769" s="78"/>
      <c r="AA769" s="81" t="s">
        <v>1674</v>
      </c>
      <c r="AB769" s="79">
        <v>5</v>
      </c>
      <c r="AC769" s="80" t="str">
        <f>REPLACE(INDEX(GroupVertices[Group],MATCH("~"&amp;Edges[[#This Row],[Vertex 1]],GroupVertices[Vertex],0)),1,1,"")</f>
        <v>1</v>
      </c>
      <c r="AD769" s="80" t="str">
        <f>REPLACE(INDEX(GroupVertices[Group],MATCH("~"&amp;Edges[[#This Row],[Vertex 2]],GroupVertices[Vertex],0)),1,1,"")</f>
        <v>1</v>
      </c>
      <c r="AE769" s="105"/>
      <c r="AF769" s="105"/>
      <c r="AG769" s="105"/>
      <c r="AH769" s="105"/>
      <c r="AI769" s="105"/>
      <c r="AJ769" s="105"/>
      <c r="AK769" s="105"/>
      <c r="AL769" s="105"/>
      <c r="AM769" s="105"/>
    </row>
    <row r="770" spans="1:39" ht="15">
      <c r="A770" s="62" t="s">
        <v>256</v>
      </c>
      <c r="B770" s="62" t="s">
        <v>253</v>
      </c>
      <c r="C770" s="63" t="s">
        <v>3599</v>
      </c>
      <c r="D770" s="64">
        <v>6.052631578947368</v>
      </c>
      <c r="E770" s="65" t="s">
        <v>136</v>
      </c>
      <c r="F770" s="66">
        <v>30.037735849056602</v>
      </c>
      <c r="G770" s="63"/>
      <c r="H770" s="67"/>
      <c r="I770" s="68"/>
      <c r="J770" s="68"/>
      <c r="K770" s="31" t="s">
        <v>65</v>
      </c>
      <c r="L770" s="76">
        <v>770</v>
      </c>
      <c r="M770" s="76"/>
      <c r="N770" s="70"/>
      <c r="O770" s="78" t="s">
        <v>305</v>
      </c>
      <c r="P770" s="78" t="s">
        <v>536</v>
      </c>
      <c r="Q770" s="78" t="s">
        <v>1059</v>
      </c>
      <c r="R770" s="78" t="s">
        <v>1053</v>
      </c>
      <c r="S770" s="78"/>
      <c r="T770" s="78"/>
      <c r="U770" s="78"/>
      <c r="V770" s="78"/>
      <c r="W770" s="81" t="s">
        <v>1674</v>
      </c>
      <c r="X770" s="81" t="s">
        <v>1674</v>
      </c>
      <c r="Y770" s="78"/>
      <c r="Z770" s="78"/>
      <c r="AA770" s="81" t="s">
        <v>1674</v>
      </c>
      <c r="AB770" s="79">
        <v>5</v>
      </c>
      <c r="AC770" s="80" t="str">
        <f>REPLACE(INDEX(GroupVertices[Group],MATCH("~"&amp;Edges[[#This Row],[Vertex 1]],GroupVertices[Vertex],0)),1,1,"")</f>
        <v>1</v>
      </c>
      <c r="AD770" s="80" t="str">
        <f>REPLACE(INDEX(GroupVertices[Group],MATCH("~"&amp;Edges[[#This Row],[Vertex 2]],GroupVertices[Vertex],0)),1,1,"")</f>
        <v>1</v>
      </c>
      <c r="AE770" s="105"/>
      <c r="AF770" s="105"/>
      <c r="AG770" s="105"/>
      <c r="AH770" s="105"/>
      <c r="AI770" s="105"/>
      <c r="AJ770" s="105"/>
      <c r="AK770" s="105"/>
      <c r="AL770" s="105"/>
      <c r="AM770" s="105"/>
    </row>
    <row r="771" spans="1:39" ht="15">
      <c r="A771" s="62" t="s">
        <v>259</v>
      </c>
      <c r="B771" s="62" t="s">
        <v>253</v>
      </c>
      <c r="C771" s="63" t="s">
        <v>3599</v>
      </c>
      <c r="D771" s="64">
        <v>6.315789473684211</v>
      </c>
      <c r="E771" s="65" t="s">
        <v>136</v>
      </c>
      <c r="F771" s="66">
        <v>29.547169811320757</v>
      </c>
      <c r="G771" s="63"/>
      <c r="H771" s="67"/>
      <c r="I771" s="68"/>
      <c r="J771" s="68"/>
      <c r="K771" s="31" t="s">
        <v>65</v>
      </c>
      <c r="L771" s="76">
        <v>771</v>
      </c>
      <c r="M771" s="76"/>
      <c r="N771" s="70"/>
      <c r="O771" s="78" t="s">
        <v>305</v>
      </c>
      <c r="P771" s="78" t="s">
        <v>538</v>
      </c>
      <c r="Q771" s="78" t="s">
        <v>1060</v>
      </c>
      <c r="R771" s="78" t="s">
        <v>1520</v>
      </c>
      <c r="S771" s="78"/>
      <c r="T771" s="78"/>
      <c r="U771" s="78"/>
      <c r="V771" s="78"/>
      <c r="W771" s="81" t="s">
        <v>1674</v>
      </c>
      <c r="X771" s="81" t="s">
        <v>1674</v>
      </c>
      <c r="Y771" s="78"/>
      <c r="Z771" s="78"/>
      <c r="AA771" s="81" t="s">
        <v>1674</v>
      </c>
      <c r="AB771" s="79">
        <v>6</v>
      </c>
      <c r="AC771" s="80" t="str">
        <f>REPLACE(INDEX(GroupVertices[Group],MATCH("~"&amp;Edges[[#This Row],[Vertex 1]],GroupVertices[Vertex],0)),1,1,"")</f>
        <v>1</v>
      </c>
      <c r="AD771" s="80" t="str">
        <f>REPLACE(INDEX(GroupVertices[Group],MATCH("~"&amp;Edges[[#This Row],[Vertex 2]],GroupVertices[Vertex],0)),1,1,"")</f>
        <v>1</v>
      </c>
      <c r="AE771" s="105"/>
      <c r="AF771" s="105"/>
      <c r="AG771" s="105"/>
      <c r="AH771" s="105"/>
      <c r="AI771" s="105"/>
      <c r="AJ771" s="105"/>
      <c r="AK771" s="105"/>
      <c r="AL771" s="105"/>
      <c r="AM771" s="105"/>
    </row>
    <row r="772" spans="1:39" ht="15">
      <c r="A772" s="62" t="s">
        <v>259</v>
      </c>
      <c r="B772" s="62" t="s">
        <v>253</v>
      </c>
      <c r="C772" s="63" t="s">
        <v>3599</v>
      </c>
      <c r="D772" s="64">
        <v>6.315789473684211</v>
      </c>
      <c r="E772" s="65" t="s">
        <v>136</v>
      </c>
      <c r="F772" s="66">
        <v>29.547169811320757</v>
      </c>
      <c r="G772" s="63"/>
      <c r="H772" s="67"/>
      <c r="I772" s="68"/>
      <c r="J772" s="68"/>
      <c r="K772" s="31" t="s">
        <v>65</v>
      </c>
      <c r="L772" s="76">
        <v>772</v>
      </c>
      <c r="M772" s="76"/>
      <c r="N772" s="70"/>
      <c r="O772" s="78" t="s">
        <v>305</v>
      </c>
      <c r="P772" s="78" t="s">
        <v>538</v>
      </c>
      <c r="Q772" s="78" t="s">
        <v>1061</v>
      </c>
      <c r="R772" s="78" t="s">
        <v>1520</v>
      </c>
      <c r="S772" s="78"/>
      <c r="T772" s="78"/>
      <c r="U772" s="78"/>
      <c r="V772" s="78"/>
      <c r="W772" s="81" t="s">
        <v>1674</v>
      </c>
      <c r="X772" s="81" t="s">
        <v>1674</v>
      </c>
      <c r="Y772" s="78"/>
      <c r="Z772" s="78"/>
      <c r="AA772" s="81" t="s">
        <v>1674</v>
      </c>
      <c r="AB772" s="79">
        <v>6</v>
      </c>
      <c r="AC772" s="80" t="str">
        <f>REPLACE(INDEX(GroupVertices[Group],MATCH("~"&amp;Edges[[#This Row],[Vertex 1]],GroupVertices[Vertex],0)),1,1,"")</f>
        <v>1</v>
      </c>
      <c r="AD772" s="80" t="str">
        <f>REPLACE(INDEX(GroupVertices[Group],MATCH("~"&amp;Edges[[#This Row],[Vertex 2]],GroupVertices[Vertex],0)),1,1,"")</f>
        <v>1</v>
      </c>
      <c r="AE772" s="105"/>
      <c r="AF772" s="105"/>
      <c r="AG772" s="105"/>
      <c r="AH772" s="105"/>
      <c r="AI772" s="105"/>
      <c r="AJ772" s="105"/>
      <c r="AK772" s="105"/>
      <c r="AL772" s="105"/>
      <c r="AM772" s="105"/>
    </row>
    <row r="773" spans="1:39" ht="15">
      <c r="A773" s="62" t="s">
        <v>259</v>
      </c>
      <c r="B773" s="62" t="s">
        <v>253</v>
      </c>
      <c r="C773" s="63" t="s">
        <v>3599</v>
      </c>
      <c r="D773" s="64">
        <v>6.315789473684211</v>
      </c>
      <c r="E773" s="65" t="s">
        <v>136</v>
      </c>
      <c r="F773" s="66">
        <v>29.547169811320757</v>
      </c>
      <c r="G773" s="63"/>
      <c r="H773" s="67"/>
      <c r="I773" s="68"/>
      <c r="J773" s="68"/>
      <c r="K773" s="31" t="s">
        <v>65</v>
      </c>
      <c r="L773" s="76">
        <v>773</v>
      </c>
      <c r="M773" s="76"/>
      <c r="N773" s="70"/>
      <c r="O773" s="78" t="s">
        <v>305</v>
      </c>
      <c r="P773" s="78" t="s">
        <v>539</v>
      </c>
      <c r="Q773" s="78" t="s">
        <v>1062</v>
      </c>
      <c r="R773" s="78" t="s">
        <v>1521</v>
      </c>
      <c r="S773" s="78"/>
      <c r="T773" s="78"/>
      <c r="U773" s="78"/>
      <c r="V773" s="78"/>
      <c r="W773" s="81" t="s">
        <v>1674</v>
      </c>
      <c r="X773" s="81" t="s">
        <v>1674</v>
      </c>
      <c r="Y773" s="78"/>
      <c r="Z773" s="78"/>
      <c r="AA773" s="81" t="s">
        <v>1674</v>
      </c>
      <c r="AB773" s="79">
        <v>6</v>
      </c>
      <c r="AC773" s="80" t="str">
        <f>REPLACE(INDEX(GroupVertices[Group],MATCH("~"&amp;Edges[[#This Row],[Vertex 1]],GroupVertices[Vertex],0)),1,1,"")</f>
        <v>1</v>
      </c>
      <c r="AD773" s="80" t="str">
        <f>REPLACE(INDEX(GroupVertices[Group],MATCH("~"&amp;Edges[[#This Row],[Vertex 2]],GroupVertices[Vertex],0)),1,1,"")</f>
        <v>1</v>
      </c>
      <c r="AE773" s="105"/>
      <c r="AF773" s="105"/>
      <c r="AG773" s="105"/>
      <c r="AH773" s="105"/>
      <c r="AI773" s="105"/>
      <c r="AJ773" s="105"/>
      <c r="AK773" s="105"/>
      <c r="AL773" s="105"/>
      <c r="AM773" s="105"/>
    </row>
    <row r="774" spans="1:39" ht="15">
      <c r="A774" s="62" t="s">
        <v>259</v>
      </c>
      <c r="B774" s="62" t="s">
        <v>253</v>
      </c>
      <c r="C774" s="63" t="s">
        <v>3599</v>
      </c>
      <c r="D774" s="64">
        <v>6.315789473684211</v>
      </c>
      <c r="E774" s="65" t="s">
        <v>136</v>
      </c>
      <c r="F774" s="66">
        <v>29.547169811320757</v>
      </c>
      <c r="G774" s="63"/>
      <c r="H774" s="67"/>
      <c r="I774" s="68"/>
      <c r="J774" s="68"/>
      <c r="K774" s="31" t="s">
        <v>65</v>
      </c>
      <c r="L774" s="76">
        <v>774</v>
      </c>
      <c r="M774" s="76"/>
      <c r="N774" s="70"/>
      <c r="O774" s="78" t="s">
        <v>305</v>
      </c>
      <c r="P774" s="78" t="s">
        <v>540</v>
      </c>
      <c r="Q774" s="78" t="s">
        <v>1063</v>
      </c>
      <c r="R774" s="78" t="s">
        <v>1522</v>
      </c>
      <c r="S774" s="78"/>
      <c r="T774" s="78"/>
      <c r="U774" s="78"/>
      <c r="V774" s="78"/>
      <c r="W774" s="81" t="s">
        <v>1674</v>
      </c>
      <c r="X774" s="81" t="s">
        <v>1674</v>
      </c>
      <c r="Y774" s="78"/>
      <c r="Z774" s="78"/>
      <c r="AA774" s="81" t="s">
        <v>1674</v>
      </c>
      <c r="AB774" s="79">
        <v>6</v>
      </c>
      <c r="AC774" s="80" t="str">
        <f>REPLACE(INDEX(GroupVertices[Group],MATCH("~"&amp;Edges[[#This Row],[Vertex 1]],GroupVertices[Vertex],0)),1,1,"")</f>
        <v>1</v>
      </c>
      <c r="AD774" s="80" t="str">
        <f>REPLACE(INDEX(GroupVertices[Group],MATCH("~"&amp;Edges[[#This Row],[Vertex 2]],GroupVertices[Vertex],0)),1,1,"")</f>
        <v>1</v>
      </c>
      <c r="AE774" s="105"/>
      <c r="AF774" s="105"/>
      <c r="AG774" s="105"/>
      <c r="AH774" s="105"/>
      <c r="AI774" s="105"/>
      <c r="AJ774" s="105"/>
      <c r="AK774" s="105"/>
      <c r="AL774" s="105"/>
      <c r="AM774" s="105"/>
    </row>
    <row r="775" spans="1:39" ht="15">
      <c r="A775" s="62" t="s">
        <v>259</v>
      </c>
      <c r="B775" s="62" t="s">
        <v>253</v>
      </c>
      <c r="C775" s="63" t="s">
        <v>3599</v>
      </c>
      <c r="D775" s="64">
        <v>6.315789473684211</v>
      </c>
      <c r="E775" s="65" t="s">
        <v>136</v>
      </c>
      <c r="F775" s="66">
        <v>29.547169811320757</v>
      </c>
      <c r="G775" s="63"/>
      <c r="H775" s="67"/>
      <c r="I775" s="68"/>
      <c r="J775" s="68"/>
      <c r="K775" s="31" t="s">
        <v>65</v>
      </c>
      <c r="L775" s="76">
        <v>775</v>
      </c>
      <c r="M775" s="76"/>
      <c r="N775" s="70"/>
      <c r="O775" s="78" t="s">
        <v>305</v>
      </c>
      <c r="P775" s="78" t="s">
        <v>541</v>
      </c>
      <c r="Q775" s="78" t="s">
        <v>1064</v>
      </c>
      <c r="R775" s="78" t="s">
        <v>1523</v>
      </c>
      <c r="S775" s="78"/>
      <c r="T775" s="78"/>
      <c r="U775" s="78"/>
      <c r="V775" s="78"/>
      <c r="W775" s="81" t="s">
        <v>1674</v>
      </c>
      <c r="X775" s="81" t="s">
        <v>1674</v>
      </c>
      <c r="Y775" s="78"/>
      <c r="Z775" s="78"/>
      <c r="AA775" s="81" t="s">
        <v>1674</v>
      </c>
      <c r="AB775" s="79">
        <v>6</v>
      </c>
      <c r="AC775" s="80" t="str">
        <f>REPLACE(INDEX(GroupVertices[Group],MATCH("~"&amp;Edges[[#This Row],[Vertex 1]],GroupVertices[Vertex],0)),1,1,"")</f>
        <v>1</v>
      </c>
      <c r="AD775" s="80" t="str">
        <f>REPLACE(INDEX(GroupVertices[Group],MATCH("~"&amp;Edges[[#This Row],[Vertex 2]],GroupVertices[Vertex],0)),1,1,"")</f>
        <v>1</v>
      </c>
      <c r="AE775" s="105"/>
      <c r="AF775" s="105"/>
      <c r="AG775" s="105"/>
      <c r="AH775" s="105"/>
      <c r="AI775" s="105"/>
      <c r="AJ775" s="105"/>
      <c r="AK775" s="105"/>
      <c r="AL775" s="105"/>
      <c r="AM775" s="105"/>
    </row>
    <row r="776" spans="1:39" ht="15">
      <c r="A776" s="62" t="s">
        <v>259</v>
      </c>
      <c r="B776" s="62" t="s">
        <v>253</v>
      </c>
      <c r="C776" s="63" t="s">
        <v>3599</v>
      </c>
      <c r="D776" s="64">
        <v>6.315789473684211</v>
      </c>
      <c r="E776" s="65" t="s">
        <v>136</v>
      </c>
      <c r="F776" s="66">
        <v>29.547169811320757</v>
      </c>
      <c r="G776" s="63"/>
      <c r="H776" s="67"/>
      <c r="I776" s="68"/>
      <c r="J776" s="68"/>
      <c r="K776" s="31" t="s">
        <v>65</v>
      </c>
      <c r="L776" s="76">
        <v>776</v>
      </c>
      <c r="M776" s="76"/>
      <c r="N776" s="70"/>
      <c r="O776" s="78" t="s">
        <v>305</v>
      </c>
      <c r="P776" s="78" t="s">
        <v>538</v>
      </c>
      <c r="Q776" s="78" t="s">
        <v>1065</v>
      </c>
      <c r="R776" s="78" t="s">
        <v>1520</v>
      </c>
      <c r="S776" s="78"/>
      <c r="T776" s="78"/>
      <c r="U776" s="78"/>
      <c r="V776" s="78"/>
      <c r="W776" s="81" t="s">
        <v>1674</v>
      </c>
      <c r="X776" s="81" t="s">
        <v>1674</v>
      </c>
      <c r="Y776" s="78"/>
      <c r="Z776" s="78"/>
      <c r="AA776" s="81" t="s">
        <v>1674</v>
      </c>
      <c r="AB776" s="79">
        <v>6</v>
      </c>
      <c r="AC776" s="80" t="str">
        <f>REPLACE(INDEX(GroupVertices[Group],MATCH("~"&amp;Edges[[#This Row],[Vertex 1]],GroupVertices[Vertex],0)),1,1,"")</f>
        <v>1</v>
      </c>
      <c r="AD776" s="80" t="str">
        <f>REPLACE(INDEX(GroupVertices[Group],MATCH("~"&amp;Edges[[#This Row],[Vertex 2]],GroupVertices[Vertex],0)),1,1,"")</f>
        <v>1</v>
      </c>
      <c r="AE776" s="105"/>
      <c r="AF776" s="105"/>
      <c r="AG776" s="105"/>
      <c r="AH776" s="105"/>
      <c r="AI776" s="105"/>
      <c r="AJ776" s="105"/>
      <c r="AK776" s="105"/>
      <c r="AL776" s="105"/>
      <c r="AM776" s="105"/>
    </row>
    <row r="777" spans="1:39" ht="15">
      <c r="A777" s="62" t="s">
        <v>235</v>
      </c>
      <c r="B777" s="62" t="s">
        <v>253</v>
      </c>
      <c r="C777" s="63" t="s">
        <v>3598</v>
      </c>
      <c r="D777" s="64">
        <v>5</v>
      </c>
      <c r="E777" s="65" t="s">
        <v>132</v>
      </c>
      <c r="F777" s="66">
        <v>32</v>
      </c>
      <c r="G777" s="63"/>
      <c r="H777" s="67"/>
      <c r="I777" s="68"/>
      <c r="J777" s="68"/>
      <c r="K777" s="31" t="s">
        <v>65</v>
      </c>
      <c r="L777" s="76">
        <v>777</v>
      </c>
      <c r="M777" s="76"/>
      <c r="N777" s="70"/>
      <c r="O777" s="78" t="s">
        <v>305</v>
      </c>
      <c r="P777" s="78" t="s">
        <v>533</v>
      </c>
      <c r="Q777" s="78" t="s">
        <v>1066</v>
      </c>
      <c r="R777" s="78" t="s">
        <v>1049</v>
      </c>
      <c r="S777" s="78"/>
      <c r="T777" s="78"/>
      <c r="U777" s="78"/>
      <c r="V777" s="78"/>
      <c r="W777" s="81" t="s">
        <v>1674</v>
      </c>
      <c r="X777" s="81" t="s">
        <v>1674</v>
      </c>
      <c r="Y777" s="78"/>
      <c r="Z777" s="78"/>
      <c r="AA777" s="81" t="s">
        <v>1674</v>
      </c>
      <c r="AB777" s="79">
        <v>1</v>
      </c>
      <c r="AC777" s="80" t="str">
        <f>REPLACE(INDEX(GroupVertices[Group],MATCH("~"&amp;Edges[[#This Row],[Vertex 1]],GroupVertices[Vertex],0)),1,1,"")</f>
        <v>1</v>
      </c>
      <c r="AD777" s="80" t="str">
        <f>REPLACE(INDEX(GroupVertices[Group],MATCH("~"&amp;Edges[[#This Row],[Vertex 2]],GroupVertices[Vertex],0)),1,1,"")</f>
        <v>1</v>
      </c>
      <c r="AE777" s="105"/>
      <c r="AF777" s="105"/>
      <c r="AG777" s="105"/>
      <c r="AH777" s="105"/>
      <c r="AI777" s="105"/>
      <c r="AJ777" s="105"/>
      <c r="AK777" s="105"/>
      <c r="AL777" s="105"/>
      <c r="AM777" s="105"/>
    </row>
    <row r="778" spans="1:39" ht="15">
      <c r="A778" s="62" t="s">
        <v>266</v>
      </c>
      <c r="B778" s="62" t="s">
        <v>253</v>
      </c>
      <c r="C778" s="63" t="s">
        <v>3602</v>
      </c>
      <c r="D778" s="64">
        <v>5.526315789473684</v>
      </c>
      <c r="E778" s="65" t="s">
        <v>136</v>
      </c>
      <c r="F778" s="66">
        <v>31.0188679245283</v>
      </c>
      <c r="G778" s="63"/>
      <c r="H778" s="67"/>
      <c r="I778" s="68"/>
      <c r="J778" s="68"/>
      <c r="K778" s="31" t="s">
        <v>65</v>
      </c>
      <c r="L778" s="76">
        <v>778</v>
      </c>
      <c r="M778" s="76"/>
      <c r="N778" s="70"/>
      <c r="O778" s="78" t="s">
        <v>305</v>
      </c>
      <c r="P778" s="78" t="s">
        <v>542</v>
      </c>
      <c r="Q778" s="78" t="s">
        <v>1067</v>
      </c>
      <c r="R778" s="78" t="s">
        <v>1524</v>
      </c>
      <c r="S778" s="78"/>
      <c r="T778" s="78"/>
      <c r="U778" s="78"/>
      <c r="V778" s="78"/>
      <c r="W778" s="81" t="s">
        <v>1674</v>
      </c>
      <c r="X778" s="81" t="s">
        <v>1674</v>
      </c>
      <c r="Y778" s="78"/>
      <c r="Z778" s="78"/>
      <c r="AA778" s="81" t="s">
        <v>1674</v>
      </c>
      <c r="AB778" s="79">
        <v>3</v>
      </c>
      <c r="AC778" s="80" t="str">
        <f>REPLACE(INDEX(GroupVertices[Group],MATCH("~"&amp;Edges[[#This Row],[Vertex 1]],GroupVertices[Vertex],0)),1,1,"")</f>
        <v>1</v>
      </c>
      <c r="AD778" s="80" t="str">
        <f>REPLACE(INDEX(GroupVertices[Group],MATCH("~"&amp;Edges[[#This Row],[Vertex 2]],GroupVertices[Vertex],0)),1,1,"")</f>
        <v>1</v>
      </c>
      <c r="AE778" s="105"/>
      <c r="AF778" s="105"/>
      <c r="AG778" s="105"/>
      <c r="AH778" s="105"/>
      <c r="AI778" s="105"/>
      <c r="AJ778" s="105"/>
      <c r="AK778" s="105"/>
      <c r="AL778" s="105"/>
      <c r="AM778" s="105"/>
    </row>
    <row r="779" spans="1:39" ht="15">
      <c r="A779" s="62" t="s">
        <v>266</v>
      </c>
      <c r="B779" s="62" t="s">
        <v>253</v>
      </c>
      <c r="C779" s="63" t="s">
        <v>3602</v>
      </c>
      <c r="D779" s="64">
        <v>5.526315789473684</v>
      </c>
      <c r="E779" s="65" t="s">
        <v>136</v>
      </c>
      <c r="F779" s="66">
        <v>31.0188679245283</v>
      </c>
      <c r="G779" s="63"/>
      <c r="H779" s="67"/>
      <c r="I779" s="68"/>
      <c r="J779" s="68"/>
      <c r="K779" s="31" t="s">
        <v>65</v>
      </c>
      <c r="L779" s="76">
        <v>779</v>
      </c>
      <c r="M779" s="76"/>
      <c r="N779" s="70"/>
      <c r="O779" s="78" t="s">
        <v>305</v>
      </c>
      <c r="P779" s="78" t="s">
        <v>542</v>
      </c>
      <c r="Q779" s="78" t="s">
        <v>1067</v>
      </c>
      <c r="R779" s="78" t="s">
        <v>1525</v>
      </c>
      <c r="S779" s="78"/>
      <c r="T779" s="78"/>
      <c r="U779" s="78"/>
      <c r="V779" s="78"/>
      <c r="W779" s="81" t="s">
        <v>1674</v>
      </c>
      <c r="X779" s="81" t="s">
        <v>1674</v>
      </c>
      <c r="Y779" s="78"/>
      <c r="Z779" s="78"/>
      <c r="AA779" s="81" t="s">
        <v>1674</v>
      </c>
      <c r="AB779" s="79">
        <v>3</v>
      </c>
      <c r="AC779" s="80" t="str">
        <f>REPLACE(INDEX(GroupVertices[Group],MATCH("~"&amp;Edges[[#This Row],[Vertex 1]],GroupVertices[Vertex],0)),1,1,"")</f>
        <v>1</v>
      </c>
      <c r="AD779" s="80" t="str">
        <f>REPLACE(INDEX(GroupVertices[Group],MATCH("~"&amp;Edges[[#This Row],[Vertex 2]],GroupVertices[Vertex],0)),1,1,"")</f>
        <v>1</v>
      </c>
      <c r="AE779" s="105"/>
      <c r="AF779" s="105"/>
      <c r="AG779" s="105"/>
      <c r="AH779" s="105"/>
      <c r="AI779" s="105"/>
      <c r="AJ779" s="105"/>
      <c r="AK779" s="105"/>
      <c r="AL779" s="105"/>
      <c r="AM779" s="105"/>
    </row>
    <row r="780" spans="1:39" ht="15">
      <c r="A780" s="62" t="s">
        <v>266</v>
      </c>
      <c r="B780" s="62" t="s">
        <v>253</v>
      </c>
      <c r="C780" s="63" t="s">
        <v>3602</v>
      </c>
      <c r="D780" s="64">
        <v>5.526315789473684</v>
      </c>
      <c r="E780" s="65" t="s">
        <v>136</v>
      </c>
      <c r="F780" s="66">
        <v>31.0188679245283</v>
      </c>
      <c r="G780" s="63"/>
      <c r="H780" s="67"/>
      <c r="I780" s="68"/>
      <c r="J780" s="68"/>
      <c r="K780" s="31" t="s">
        <v>65</v>
      </c>
      <c r="L780" s="76">
        <v>780</v>
      </c>
      <c r="M780" s="76"/>
      <c r="N780" s="70"/>
      <c r="O780" s="78" t="s">
        <v>305</v>
      </c>
      <c r="P780" s="78" t="s">
        <v>542</v>
      </c>
      <c r="Q780" s="78" t="s">
        <v>1067</v>
      </c>
      <c r="R780" s="78" t="s">
        <v>1526</v>
      </c>
      <c r="S780" s="78"/>
      <c r="T780" s="78" t="s">
        <v>1664</v>
      </c>
      <c r="U780" s="78"/>
      <c r="V780" s="78" t="s">
        <v>1670</v>
      </c>
      <c r="W780" s="81" t="s">
        <v>1674</v>
      </c>
      <c r="X780" s="81" t="s">
        <v>1674</v>
      </c>
      <c r="Y780" s="78" t="s">
        <v>1695</v>
      </c>
      <c r="Z780" s="78" t="s">
        <v>1710</v>
      </c>
      <c r="AA780" s="81" t="s">
        <v>1674</v>
      </c>
      <c r="AB780" s="79">
        <v>3</v>
      </c>
      <c r="AC780" s="80" t="str">
        <f>REPLACE(INDEX(GroupVertices[Group],MATCH("~"&amp;Edges[[#This Row],[Vertex 1]],GroupVertices[Vertex],0)),1,1,"")</f>
        <v>1</v>
      </c>
      <c r="AD780" s="80" t="str">
        <f>REPLACE(INDEX(GroupVertices[Group],MATCH("~"&amp;Edges[[#This Row],[Vertex 2]],GroupVertices[Vertex],0)),1,1,"")</f>
        <v>1</v>
      </c>
      <c r="AE780" s="105"/>
      <c r="AF780" s="105"/>
      <c r="AG780" s="105"/>
      <c r="AH780" s="105"/>
      <c r="AI780" s="105"/>
      <c r="AJ780" s="105"/>
      <c r="AK780" s="105"/>
      <c r="AL780" s="105"/>
      <c r="AM780" s="105"/>
    </row>
    <row r="781" spans="1:39" ht="15">
      <c r="A781" s="62" t="s">
        <v>280</v>
      </c>
      <c r="B781" s="62" t="s">
        <v>253</v>
      </c>
      <c r="C781" s="63" t="s">
        <v>3598</v>
      </c>
      <c r="D781" s="64">
        <v>5</v>
      </c>
      <c r="E781" s="65" t="s">
        <v>132</v>
      </c>
      <c r="F781" s="66">
        <v>32</v>
      </c>
      <c r="G781" s="63"/>
      <c r="H781" s="67"/>
      <c r="I781" s="68"/>
      <c r="J781" s="68"/>
      <c r="K781" s="31" t="s">
        <v>65</v>
      </c>
      <c r="L781" s="76">
        <v>781</v>
      </c>
      <c r="M781" s="76"/>
      <c r="N781" s="70"/>
      <c r="O781" s="78" t="s">
        <v>305</v>
      </c>
      <c r="P781" s="78" t="s">
        <v>533</v>
      </c>
      <c r="Q781" s="78" t="s">
        <v>1068</v>
      </c>
      <c r="R781" s="78" t="s">
        <v>1049</v>
      </c>
      <c r="S781" s="78"/>
      <c r="T781" s="78"/>
      <c r="U781" s="78"/>
      <c r="V781" s="78"/>
      <c r="W781" s="81" t="s">
        <v>1674</v>
      </c>
      <c r="X781" s="81" t="s">
        <v>1674</v>
      </c>
      <c r="Y781" s="78"/>
      <c r="Z781" s="78"/>
      <c r="AA781" s="81" t="s">
        <v>1674</v>
      </c>
      <c r="AB781" s="79">
        <v>1</v>
      </c>
      <c r="AC781" s="80" t="str">
        <f>REPLACE(INDEX(GroupVertices[Group],MATCH("~"&amp;Edges[[#This Row],[Vertex 1]],GroupVertices[Vertex],0)),1,1,"")</f>
        <v>3</v>
      </c>
      <c r="AD781" s="80" t="str">
        <f>REPLACE(INDEX(GroupVertices[Group],MATCH("~"&amp;Edges[[#This Row],[Vertex 2]],GroupVertices[Vertex],0)),1,1,"")</f>
        <v>1</v>
      </c>
      <c r="AE781" s="105"/>
      <c r="AF781" s="105"/>
      <c r="AG781" s="105"/>
      <c r="AH781" s="105"/>
      <c r="AI781" s="105"/>
      <c r="AJ781" s="105"/>
      <c r="AK781" s="105"/>
      <c r="AL781" s="105"/>
      <c r="AM781" s="105"/>
    </row>
    <row r="782" spans="1:39" ht="15">
      <c r="A782" s="62" t="s">
        <v>285</v>
      </c>
      <c r="B782" s="62" t="s">
        <v>253</v>
      </c>
      <c r="C782" s="63" t="s">
        <v>3598</v>
      </c>
      <c r="D782" s="64">
        <v>5</v>
      </c>
      <c r="E782" s="65" t="s">
        <v>132</v>
      </c>
      <c r="F782" s="66">
        <v>32</v>
      </c>
      <c r="G782" s="63"/>
      <c r="H782" s="67"/>
      <c r="I782" s="68"/>
      <c r="J782" s="68"/>
      <c r="K782" s="31" t="s">
        <v>65</v>
      </c>
      <c r="L782" s="76">
        <v>782</v>
      </c>
      <c r="M782" s="76"/>
      <c r="N782" s="70"/>
      <c r="O782" s="78" t="s">
        <v>305</v>
      </c>
      <c r="P782" s="78" t="s">
        <v>533</v>
      </c>
      <c r="Q782" s="78" t="s">
        <v>1069</v>
      </c>
      <c r="R782" s="78" t="s">
        <v>1049</v>
      </c>
      <c r="S782" s="78"/>
      <c r="T782" s="78"/>
      <c r="U782" s="78"/>
      <c r="V782" s="78"/>
      <c r="W782" s="81" t="s">
        <v>1674</v>
      </c>
      <c r="X782" s="81" t="s">
        <v>1674</v>
      </c>
      <c r="Y782" s="78"/>
      <c r="Z782" s="78"/>
      <c r="AA782" s="81" t="s">
        <v>1674</v>
      </c>
      <c r="AB782" s="79">
        <v>1</v>
      </c>
      <c r="AC782" s="80" t="str">
        <f>REPLACE(INDEX(GroupVertices[Group],MATCH("~"&amp;Edges[[#This Row],[Vertex 1]],GroupVertices[Vertex],0)),1,1,"")</f>
        <v>1</v>
      </c>
      <c r="AD782" s="80" t="str">
        <f>REPLACE(INDEX(GroupVertices[Group],MATCH("~"&amp;Edges[[#This Row],[Vertex 2]],GroupVertices[Vertex],0)),1,1,"")</f>
        <v>1</v>
      </c>
      <c r="AE782" s="105"/>
      <c r="AF782" s="105"/>
      <c r="AG782" s="105"/>
      <c r="AH782" s="105"/>
      <c r="AI782" s="105"/>
      <c r="AJ782" s="105"/>
      <c r="AK782" s="105"/>
      <c r="AL782" s="105"/>
      <c r="AM782" s="105"/>
    </row>
    <row r="783" spans="1:39" ht="15">
      <c r="A783" s="62" t="s">
        <v>265</v>
      </c>
      <c r="B783" s="62" t="s">
        <v>303</v>
      </c>
      <c r="C783" s="63" t="s">
        <v>3598</v>
      </c>
      <c r="D783" s="64">
        <v>5</v>
      </c>
      <c r="E783" s="65" t="s">
        <v>132</v>
      </c>
      <c r="F783" s="66">
        <v>32</v>
      </c>
      <c r="G783" s="63"/>
      <c r="H783" s="67"/>
      <c r="I783" s="68"/>
      <c r="J783" s="68"/>
      <c r="K783" s="31" t="s">
        <v>65</v>
      </c>
      <c r="L783" s="76">
        <v>783</v>
      </c>
      <c r="M783" s="76"/>
      <c r="N783" s="70"/>
      <c r="O783" s="78" t="s">
        <v>305</v>
      </c>
      <c r="P783" s="78" t="s">
        <v>483</v>
      </c>
      <c r="Q783" s="78" t="s">
        <v>966</v>
      </c>
      <c r="R783" s="78" t="s">
        <v>1457</v>
      </c>
      <c r="S783" s="78"/>
      <c r="T783" s="78"/>
      <c r="U783" s="78"/>
      <c r="V783" s="78"/>
      <c r="W783" s="81" t="s">
        <v>1674</v>
      </c>
      <c r="X783" s="81" t="s">
        <v>1674</v>
      </c>
      <c r="Y783" s="78"/>
      <c r="Z783" s="78"/>
      <c r="AA783" s="81" t="s">
        <v>1674</v>
      </c>
      <c r="AB783" s="79">
        <v>1</v>
      </c>
      <c r="AC783" s="80" t="str">
        <f>REPLACE(INDEX(GroupVertices[Group],MATCH("~"&amp;Edges[[#This Row],[Vertex 1]],GroupVertices[Vertex],0)),1,1,"")</f>
        <v>3</v>
      </c>
      <c r="AD783" s="80" t="str">
        <f>REPLACE(INDEX(GroupVertices[Group],MATCH("~"&amp;Edges[[#This Row],[Vertex 2]],GroupVertices[Vertex],0)),1,1,"")</f>
        <v>3</v>
      </c>
      <c r="AE783" s="105"/>
      <c r="AF783" s="105"/>
      <c r="AG783" s="105"/>
      <c r="AH783" s="105"/>
      <c r="AI783" s="105"/>
      <c r="AJ783" s="105"/>
      <c r="AK783" s="105"/>
      <c r="AL783" s="105"/>
      <c r="AM783" s="105"/>
    </row>
    <row r="784" spans="1:39" ht="15">
      <c r="A784" s="62" t="s">
        <v>265</v>
      </c>
      <c r="B784" s="62" t="s">
        <v>249</v>
      </c>
      <c r="C784" s="63" t="s">
        <v>3603</v>
      </c>
      <c r="D784" s="64">
        <v>5.7894736842105265</v>
      </c>
      <c r="E784" s="65" t="s">
        <v>136</v>
      </c>
      <c r="F784" s="66">
        <v>30.528301886792452</v>
      </c>
      <c r="G784" s="63"/>
      <c r="H784" s="67"/>
      <c r="I784" s="68"/>
      <c r="J784" s="68"/>
      <c r="K784" s="31" t="s">
        <v>65</v>
      </c>
      <c r="L784" s="76">
        <v>784</v>
      </c>
      <c r="M784" s="76"/>
      <c r="N784" s="70"/>
      <c r="O784" s="78" t="s">
        <v>305</v>
      </c>
      <c r="P784" s="78" t="s">
        <v>527</v>
      </c>
      <c r="Q784" s="78" t="s">
        <v>1043</v>
      </c>
      <c r="R784" s="78" t="s">
        <v>1505</v>
      </c>
      <c r="S784" s="78"/>
      <c r="T784" s="78"/>
      <c r="U784" s="78"/>
      <c r="V784" s="78"/>
      <c r="W784" s="81" t="s">
        <v>1674</v>
      </c>
      <c r="X784" s="81" t="s">
        <v>1674</v>
      </c>
      <c r="Y784" s="78"/>
      <c r="Z784" s="78"/>
      <c r="AA784" s="81" t="s">
        <v>1674</v>
      </c>
      <c r="AB784" s="79">
        <v>4</v>
      </c>
      <c r="AC784" s="80" t="str">
        <f>REPLACE(INDEX(GroupVertices[Group],MATCH("~"&amp;Edges[[#This Row],[Vertex 1]],GroupVertices[Vertex],0)),1,1,"")</f>
        <v>3</v>
      </c>
      <c r="AD784" s="80" t="str">
        <f>REPLACE(INDEX(GroupVertices[Group],MATCH("~"&amp;Edges[[#This Row],[Vertex 2]],GroupVertices[Vertex],0)),1,1,"")</f>
        <v>2</v>
      </c>
      <c r="AE784" s="105"/>
      <c r="AF784" s="105"/>
      <c r="AG784" s="105"/>
      <c r="AH784" s="105"/>
      <c r="AI784" s="105"/>
      <c r="AJ784" s="105"/>
      <c r="AK784" s="105"/>
      <c r="AL784" s="105"/>
      <c r="AM784" s="105"/>
    </row>
    <row r="785" spans="1:39" ht="15">
      <c r="A785" s="62" t="s">
        <v>265</v>
      </c>
      <c r="B785" s="62" t="s">
        <v>249</v>
      </c>
      <c r="C785" s="63" t="s">
        <v>3603</v>
      </c>
      <c r="D785" s="64">
        <v>5.7894736842105265</v>
      </c>
      <c r="E785" s="65" t="s">
        <v>136</v>
      </c>
      <c r="F785" s="66">
        <v>30.528301886792452</v>
      </c>
      <c r="G785" s="63"/>
      <c r="H785" s="67"/>
      <c r="I785" s="68"/>
      <c r="J785" s="68"/>
      <c r="K785" s="31" t="s">
        <v>65</v>
      </c>
      <c r="L785" s="76">
        <v>785</v>
      </c>
      <c r="M785" s="76"/>
      <c r="N785" s="70"/>
      <c r="O785" s="78" t="s">
        <v>305</v>
      </c>
      <c r="P785" s="78" t="s">
        <v>527</v>
      </c>
      <c r="Q785" s="78" t="s">
        <v>1043</v>
      </c>
      <c r="R785" s="78" t="s">
        <v>1506</v>
      </c>
      <c r="S785" s="78"/>
      <c r="T785" s="78"/>
      <c r="U785" s="78"/>
      <c r="V785" s="78"/>
      <c r="W785" s="81" t="s">
        <v>1674</v>
      </c>
      <c r="X785" s="81" t="s">
        <v>1674</v>
      </c>
      <c r="Y785" s="78"/>
      <c r="Z785" s="78"/>
      <c r="AA785" s="81" t="s">
        <v>1674</v>
      </c>
      <c r="AB785" s="79">
        <v>4</v>
      </c>
      <c r="AC785" s="80" t="str">
        <f>REPLACE(INDEX(GroupVertices[Group],MATCH("~"&amp;Edges[[#This Row],[Vertex 1]],GroupVertices[Vertex],0)),1,1,"")</f>
        <v>3</v>
      </c>
      <c r="AD785" s="80" t="str">
        <f>REPLACE(INDEX(GroupVertices[Group],MATCH("~"&amp;Edges[[#This Row],[Vertex 2]],GroupVertices[Vertex],0)),1,1,"")</f>
        <v>2</v>
      </c>
      <c r="AE785" s="105"/>
      <c r="AF785" s="105"/>
      <c r="AG785" s="105"/>
      <c r="AH785" s="105"/>
      <c r="AI785" s="105"/>
      <c r="AJ785" s="105"/>
      <c r="AK785" s="105"/>
      <c r="AL785" s="105"/>
      <c r="AM785" s="105"/>
    </row>
    <row r="786" spans="1:39" ht="15">
      <c r="A786" s="62" t="s">
        <v>265</v>
      </c>
      <c r="B786" s="62" t="s">
        <v>249</v>
      </c>
      <c r="C786" s="63" t="s">
        <v>3603</v>
      </c>
      <c r="D786" s="64">
        <v>5.7894736842105265</v>
      </c>
      <c r="E786" s="65" t="s">
        <v>136</v>
      </c>
      <c r="F786" s="66">
        <v>30.528301886792452</v>
      </c>
      <c r="G786" s="63"/>
      <c r="H786" s="67"/>
      <c r="I786" s="68"/>
      <c r="J786" s="68"/>
      <c r="K786" s="31" t="s">
        <v>65</v>
      </c>
      <c r="L786" s="76">
        <v>786</v>
      </c>
      <c r="M786" s="76"/>
      <c r="N786" s="70"/>
      <c r="O786" s="78" t="s">
        <v>305</v>
      </c>
      <c r="P786" s="78" t="s">
        <v>527</v>
      </c>
      <c r="Q786" s="78" t="s">
        <v>1043</v>
      </c>
      <c r="R786" s="78" t="s">
        <v>1507</v>
      </c>
      <c r="S786" s="78"/>
      <c r="T786" s="78"/>
      <c r="U786" s="78"/>
      <c r="V786" s="78"/>
      <c r="W786" s="81" t="s">
        <v>1674</v>
      </c>
      <c r="X786" s="81" t="s">
        <v>1674</v>
      </c>
      <c r="Y786" s="78"/>
      <c r="Z786" s="78"/>
      <c r="AA786" s="81" t="s">
        <v>1674</v>
      </c>
      <c r="AB786" s="79">
        <v>4</v>
      </c>
      <c r="AC786" s="80" t="str">
        <f>REPLACE(INDEX(GroupVertices[Group],MATCH("~"&amp;Edges[[#This Row],[Vertex 1]],GroupVertices[Vertex],0)),1,1,"")</f>
        <v>3</v>
      </c>
      <c r="AD786" s="80" t="str">
        <f>REPLACE(INDEX(GroupVertices[Group],MATCH("~"&amp;Edges[[#This Row],[Vertex 2]],GroupVertices[Vertex],0)),1,1,"")</f>
        <v>2</v>
      </c>
      <c r="AE786" s="105"/>
      <c r="AF786" s="105"/>
      <c r="AG786" s="105"/>
      <c r="AH786" s="105"/>
      <c r="AI786" s="105"/>
      <c r="AJ786" s="105"/>
      <c r="AK786" s="105"/>
      <c r="AL786" s="105"/>
      <c r="AM786" s="105"/>
    </row>
    <row r="787" spans="1:39" ht="15">
      <c r="A787" s="62" t="s">
        <v>265</v>
      </c>
      <c r="B787" s="62" t="s">
        <v>249</v>
      </c>
      <c r="C787" s="63" t="s">
        <v>3603</v>
      </c>
      <c r="D787" s="64">
        <v>5.7894736842105265</v>
      </c>
      <c r="E787" s="65" t="s">
        <v>136</v>
      </c>
      <c r="F787" s="66">
        <v>30.528301886792452</v>
      </c>
      <c r="G787" s="63"/>
      <c r="H787" s="67"/>
      <c r="I787" s="68"/>
      <c r="J787" s="68"/>
      <c r="K787" s="31" t="s">
        <v>65</v>
      </c>
      <c r="L787" s="76">
        <v>787</v>
      </c>
      <c r="M787" s="76"/>
      <c r="N787" s="70"/>
      <c r="O787" s="78" t="s">
        <v>305</v>
      </c>
      <c r="P787" s="78" t="s">
        <v>527</v>
      </c>
      <c r="Q787" s="78" t="s">
        <v>1043</v>
      </c>
      <c r="R787" s="78" t="s">
        <v>1508</v>
      </c>
      <c r="S787" s="78"/>
      <c r="T787" s="78"/>
      <c r="U787" s="78"/>
      <c r="V787" s="78"/>
      <c r="W787" s="81" t="s">
        <v>1674</v>
      </c>
      <c r="X787" s="81" t="s">
        <v>1674</v>
      </c>
      <c r="Y787" s="78"/>
      <c r="Z787" s="78"/>
      <c r="AA787" s="81" t="s">
        <v>1674</v>
      </c>
      <c r="AB787" s="79">
        <v>4</v>
      </c>
      <c r="AC787" s="80" t="str">
        <f>REPLACE(INDEX(GroupVertices[Group],MATCH("~"&amp;Edges[[#This Row],[Vertex 1]],GroupVertices[Vertex],0)),1,1,"")</f>
        <v>3</v>
      </c>
      <c r="AD787" s="80" t="str">
        <f>REPLACE(INDEX(GroupVertices[Group],MATCH("~"&amp;Edges[[#This Row],[Vertex 2]],GroupVertices[Vertex],0)),1,1,"")</f>
        <v>2</v>
      </c>
      <c r="AE787" s="105"/>
      <c r="AF787" s="105"/>
      <c r="AG787" s="105"/>
      <c r="AH787" s="105"/>
      <c r="AI787" s="105"/>
      <c r="AJ787" s="105"/>
      <c r="AK787" s="105"/>
      <c r="AL787" s="105"/>
      <c r="AM787" s="105"/>
    </row>
    <row r="788" spans="1:39" ht="15">
      <c r="A788" s="62" t="s">
        <v>265</v>
      </c>
      <c r="B788" s="62" t="s">
        <v>263</v>
      </c>
      <c r="C788" s="63" t="s">
        <v>3604</v>
      </c>
      <c r="D788" s="64">
        <v>10</v>
      </c>
      <c r="E788" s="65" t="s">
        <v>136</v>
      </c>
      <c r="F788" s="66">
        <v>20.71698113207547</v>
      </c>
      <c r="G788" s="63"/>
      <c r="H788" s="67"/>
      <c r="I788" s="68"/>
      <c r="J788" s="68"/>
      <c r="K788" s="31" t="s">
        <v>65</v>
      </c>
      <c r="L788" s="76">
        <v>788</v>
      </c>
      <c r="M788" s="76"/>
      <c r="N788" s="70"/>
      <c r="O788" s="78" t="s">
        <v>305</v>
      </c>
      <c r="P788" s="78" t="s">
        <v>543</v>
      </c>
      <c r="Q788" s="78" t="s">
        <v>1070</v>
      </c>
      <c r="R788" s="78" t="s">
        <v>1527</v>
      </c>
      <c r="S788" s="78"/>
      <c r="T788" s="78"/>
      <c r="U788" s="78"/>
      <c r="V788" s="78"/>
      <c r="W788" s="81" t="s">
        <v>1674</v>
      </c>
      <c r="X788" s="81" t="s">
        <v>1674</v>
      </c>
      <c r="Y788" s="78"/>
      <c r="Z788" s="78"/>
      <c r="AA788" s="81" t="s">
        <v>1674</v>
      </c>
      <c r="AB788" s="79">
        <v>24</v>
      </c>
      <c r="AC788" s="80" t="str">
        <f>REPLACE(INDEX(GroupVertices[Group],MATCH("~"&amp;Edges[[#This Row],[Vertex 1]],GroupVertices[Vertex],0)),1,1,"")</f>
        <v>3</v>
      </c>
      <c r="AD788" s="80" t="str">
        <f>REPLACE(INDEX(GroupVertices[Group],MATCH("~"&amp;Edges[[#This Row],[Vertex 2]],GroupVertices[Vertex],0)),1,1,"")</f>
        <v>3</v>
      </c>
      <c r="AE788" s="105"/>
      <c r="AF788" s="105"/>
      <c r="AG788" s="105"/>
      <c r="AH788" s="105"/>
      <c r="AI788" s="105"/>
      <c r="AJ788" s="105"/>
      <c r="AK788" s="105"/>
      <c r="AL788" s="105"/>
      <c r="AM788" s="105"/>
    </row>
    <row r="789" spans="1:39" ht="15">
      <c r="A789" s="62" t="s">
        <v>265</v>
      </c>
      <c r="B789" s="62" t="s">
        <v>263</v>
      </c>
      <c r="C789" s="63" t="s">
        <v>3604</v>
      </c>
      <c r="D789" s="64">
        <v>10</v>
      </c>
      <c r="E789" s="65" t="s">
        <v>136</v>
      </c>
      <c r="F789" s="66">
        <v>20.71698113207547</v>
      </c>
      <c r="G789" s="63"/>
      <c r="H789" s="67"/>
      <c r="I789" s="68"/>
      <c r="J789" s="68"/>
      <c r="K789" s="31" t="s">
        <v>65</v>
      </c>
      <c r="L789" s="76">
        <v>789</v>
      </c>
      <c r="M789" s="76"/>
      <c r="N789" s="70"/>
      <c r="O789" s="78" t="s">
        <v>305</v>
      </c>
      <c r="P789" s="78" t="s">
        <v>543</v>
      </c>
      <c r="Q789" s="78" t="s">
        <v>1070</v>
      </c>
      <c r="R789" s="78" t="s">
        <v>1528</v>
      </c>
      <c r="S789" s="78"/>
      <c r="T789" s="78"/>
      <c r="U789" s="78"/>
      <c r="V789" s="78"/>
      <c r="W789" s="81" t="s">
        <v>1674</v>
      </c>
      <c r="X789" s="81" t="s">
        <v>1674</v>
      </c>
      <c r="Y789" s="78"/>
      <c r="Z789" s="78"/>
      <c r="AA789" s="81" t="s">
        <v>1674</v>
      </c>
      <c r="AB789" s="79">
        <v>24</v>
      </c>
      <c r="AC789" s="80" t="str">
        <f>REPLACE(INDEX(GroupVertices[Group],MATCH("~"&amp;Edges[[#This Row],[Vertex 1]],GroupVertices[Vertex],0)),1,1,"")</f>
        <v>3</v>
      </c>
      <c r="AD789" s="80" t="str">
        <f>REPLACE(INDEX(GroupVertices[Group],MATCH("~"&amp;Edges[[#This Row],[Vertex 2]],GroupVertices[Vertex],0)),1,1,"")</f>
        <v>3</v>
      </c>
      <c r="AE789" s="105"/>
      <c r="AF789" s="105"/>
      <c r="AG789" s="105"/>
      <c r="AH789" s="105"/>
      <c r="AI789" s="105"/>
      <c r="AJ789" s="105"/>
      <c r="AK789" s="105"/>
      <c r="AL789" s="105"/>
      <c r="AM789" s="105"/>
    </row>
    <row r="790" spans="1:39" ht="15">
      <c r="A790" s="62" t="s">
        <v>265</v>
      </c>
      <c r="B790" s="62" t="s">
        <v>263</v>
      </c>
      <c r="C790" s="63" t="s">
        <v>3604</v>
      </c>
      <c r="D790" s="64">
        <v>10</v>
      </c>
      <c r="E790" s="65" t="s">
        <v>136</v>
      </c>
      <c r="F790" s="66">
        <v>20.71698113207547</v>
      </c>
      <c r="G790" s="63"/>
      <c r="H790" s="67"/>
      <c r="I790" s="68"/>
      <c r="J790" s="68"/>
      <c r="K790" s="31" t="s">
        <v>65</v>
      </c>
      <c r="L790" s="76">
        <v>790</v>
      </c>
      <c r="M790" s="76"/>
      <c r="N790" s="70"/>
      <c r="O790" s="78" t="s">
        <v>305</v>
      </c>
      <c r="P790" s="78" t="s">
        <v>543</v>
      </c>
      <c r="Q790" s="78" t="s">
        <v>1070</v>
      </c>
      <c r="R790" s="78" t="s">
        <v>1529</v>
      </c>
      <c r="S790" s="78"/>
      <c r="T790" s="78"/>
      <c r="U790" s="78"/>
      <c r="V790" s="78"/>
      <c r="W790" s="81" t="s">
        <v>1674</v>
      </c>
      <c r="X790" s="81" t="s">
        <v>1674</v>
      </c>
      <c r="Y790" s="78"/>
      <c r="Z790" s="78"/>
      <c r="AA790" s="81" t="s">
        <v>1674</v>
      </c>
      <c r="AB790" s="79">
        <v>24</v>
      </c>
      <c r="AC790" s="80" t="str">
        <f>REPLACE(INDEX(GroupVertices[Group],MATCH("~"&amp;Edges[[#This Row],[Vertex 1]],GroupVertices[Vertex],0)),1,1,"")</f>
        <v>3</v>
      </c>
      <c r="AD790" s="80" t="str">
        <f>REPLACE(INDEX(GroupVertices[Group],MATCH("~"&amp;Edges[[#This Row],[Vertex 2]],GroupVertices[Vertex],0)),1,1,"")</f>
        <v>3</v>
      </c>
      <c r="AE790" s="105"/>
      <c r="AF790" s="105"/>
      <c r="AG790" s="105"/>
      <c r="AH790" s="105"/>
      <c r="AI790" s="105"/>
      <c r="AJ790" s="105"/>
      <c r="AK790" s="105"/>
      <c r="AL790" s="105"/>
      <c r="AM790" s="105"/>
    </row>
    <row r="791" spans="1:39" ht="15">
      <c r="A791" s="62" t="s">
        <v>265</v>
      </c>
      <c r="B791" s="62" t="s">
        <v>263</v>
      </c>
      <c r="C791" s="63" t="s">
        <v>3604</v>
      </c>
      <c r="D791" s="64">
        <v>10</v>
      </c>
      <c r="E791" s="65" t="s">
        <v>136</v>
      </c>
      <c r="F791" s="66">
        <v>20.71698113207547</v>
      </c>
      <c r="G791" s="63"/>
      <c r="H791" s="67"/>
      <c r="I791" s="68"/>
      <c r="J791" s="68"/>
      <c r="K791" s="31" t="s">
        <v>65</v>
      </c>
      <c r="L791" s="76">
        <v>791</v>
      </c>
      <c r="M791" s="76"/>
      <c r="N791" s="70"/>
      <c r="O791" s="78" t="s">
        <v>305</v>
      </c>
      <c r="P791" s="78" t="s">
        <v>543</v>
      </c>
      <c r="Q791" s="78" t="s">
        <v>1071</v>
      </c>
      <c r="R791" s="78" t="s">
        <v>1527</v>
      </c>
      <c r="S791" s="78"/>
      <c r="T791" s="78"/>
      <c r="U791" s="78"/>
      <c r="V791" s="78"/>
      <c r="W791" s="81" t="s">
        <v>1674</v>
      </c>
      <c r="X791" s="81" t="s">
        <v>1674</v>
      </c>
      <c r="Y791" s="78"/>
      <c r="Z791" s="78"/>
      <c r="AA791" s="81" t="s">
        <v>1674</v>
      </c>
      <c r="AB791" s="79">
        <v>24</v>
      </c>
      <c r="AC791" s="80" t="str">
        <f>REPLACE(INDEX(GroupVertices[Group],MATCH("~"&amp;Edges[[#This Row],[Vertex 1]],GroupVertices[Vertex],0)),1,1,"")</f>
        <v>3</v>
      </c>
      <c r="AD791" s="80" t="str">
        <f>REPLACE(INDEX(GroupVertices[Group],MATCH("~"&amp;Edges[[#This Row],[Vertex 2]],GroupVertices[Vertex],0)),1,1,"")</f>
        <v>3</v>
      </c>
      <c r="AE791" s="105"/>
      <c r="AF791" s="105"/>
      <c r="AG791" s="105"/>
      <c r="AH791" s="105"/>
      <c r="AI791" s="105"/>
      <c r="AJ791" s="105"/>
      <c r="AK791" s="105"/>
      <c r="AL791" s="105"/>
      <c r="AM791" s="105"/>
    </row>
    <row r="792" spans="1:39" ht="15">
      <c r="A792" s="62" t="s">
        <v>265</v>
      </c>
      <c r="B792" s="62" t="s">
        <v>263</v>
      </c>
      <c r="C792" s="63" t="s">
        <v>3604</v>
      </c>
      <c r="D792" s="64">
        <v>10</v>
      </c>
      <c r="E792" s="65" t="s">
        <v>136</v>
      </c>
      <c r="F792" s="66">
        <v>20.71698113207547</v>
      </c>
      <c r="G792" s="63"/>
      <c r="H792" s="67"/>
      <c r="I792" s="68"/>
      <c r="J792" s="68"/>
      <c r="K792" s="31" t="s">
        <v>65</v>
      </c>
      <c r="L792" s="76">
        <v>792</v>
      </c>
      <c r="M792" s="76"/>
      <c r="N792" s="70"/>
      <c r="O792" s="78" t="s">
        <v>305</v>
      </c>
      <c r="P792" s="78" t="s">
        <v>543</v>
      </c>
      <c r="Q792" s="78" t="s">
        <v>1071</v>
      </c>
      <c r="R792" s="78" t="s">
        <v>1528</v>
      </c>
      <c r="S792" s="78"/>
      <c r="T792" s="78"/>
      <c r="U792" s="78"/>
      <c r="V792" s="78"/>
      <c r="W792" s="81" t="s">
        <v>1674</v>
      </c>
      <c r="X792" s="81" t="s">
        <v>1674</v>
      </c>
      <c r="Y792" s="78"/>
      <c r="Z792" s="78"/>
      <c r="AA792" s="81" t="s">
        <v>1674</v>
      </c>
      <c r="AB792" s="79">
        <v>24</v>
      </c>
      <c r="AC792" s="80" t="str">
        <f>REPLACE(INDEX(GroupVertices[Group],MATCH("~"&amp;Edges[[#This Row],[Vertex 1]],GroupVertices[Vertex],0)),1,1,"")</f>
        <v>3</v>
      </c>
      <c r="AD792" s="80" t="str">
        <f>REPLACE(INDEX(GroupVertices[Group],MATCH("~"&amp;Edges[[#This Row],[Vertex 2]],GroupVertices[Vertex],0)),1,1,"")</f>
        <v>3</v>
      </c>
      <c r="AE792" s="105"/>
      <c r="AF792" s="105"/>
      <c r="AG792" s="105"/>
      <c r="AH792" s="105"/>
      <c r="AI792" s="105"/>
      <c r="AJ792" s="105"/>
      <c r="AK792" s="105"/>
      <c r="AL792" s="105"/>
      <c r="AM792" s="105"/>
    </row>
    <row r="793" spans="1:39" ht="15">
      <c r="A793" s="62" t="s">
        <v>265</v>
      </c>
      <c r="B793" s="62" t="s">
        <v>263</v>
      </c>
      <c r="C793" s="63" t="s">
        <v>3604</v>
      </c>
      <c r="D793" s="64">
        <v>10</v>
      </c>
      <c r="E793" s="65" t="s">
        <v>136</v>
      </c>
      <c r="F793" s="66">
        <v>20.71698113207547</v>
      </c>
      <c r="G793" s="63"/>
      <c r="H793" s="67"/>
      <c r="I793" s="68"/>
      <c r="J793" s="68"/>
      <c r="K793" s="31" t="s">
        <v>65</v>
      </c>
      <c r="L793" s="76">
        <v>793</v>
      </c>
      <c r="M793" s="76"/>
      <c r="N793" s="70"/>
      <c r="O793" s="78" t="s">
        <v>305</v>
      </c>
      <c r="P793" s="78" t="s">
        <v>543</v>
      </c>
      <c r="Q793" s="78" t="s">
        <v>1071</v>
      </c>
      <c r="R793" s="78" t="s">
        <v>1529</v>
      </c>
      <c r="S793" s="78"/>
      <c r="T793" s="78"/>
      <c r="U793" s="78"/>
      <c r="V793" s="78"/>
      <c r="W793" s="81" t="s">
        <v>1674</v>
      </c>
      <c r="X793" s="81" t="s">
        <v>1674</v>
      </c>
      <c r="Y793" s="78"/>
      <c r="Z793" s="78"/>
      <c r="AA793" s="81" t="s">
        <v>1674</v>
      </c>
      <c r="AB793" s="79">
        <v>24</v>
      </c>
      <c r="AC793" s="80" t="str">
        <f>REPLACE(INDEX(GroupVertices[Group],MATCH("~"&amp;Edges[[#This Row],[Vertex 1]],GroupVertices[Vertex],0)),1,1,"")</f>
        <v>3</v>
      </c>
      <c r="AD793" s="80" t="str">
        <f>REPLACE(INDEX(GroupVertices[Group],MATCH("~"&amp;Edges[[#This Row],[Vertex 2]],GroupVertices[Vertex],0)),1,1,"")</f>
        <v>3</v>
      </c>
      <c r="AE793" s="105"/>
      <c r="AF793" s="105"/>
      <c r="AG793" s="105"/>
      <c r="AH793" s="105"/>
      <c r="AI793" s="105"/>
      <c r="AJ793" s="105"/>
      <c r="AK793" s="105"/>
      <c r="AL793" s="105"/>
      <c r="AM793" s="105"/>
    </row>
    <row r="794" spans="1:39" ht="15">
      <c r="A794" s="62" t="s">
        <v>265</v>
      </c>
      <c r="B794" s="62" t="s">
        <v>263</v>
      </c>
      <c r="C794" s="63" t="s">
        <v>3604</v>
      </c>
      <c r="D794" s="64">
        <v>10</v>
      </c>
      <c r="E794" s="65" t="s">
        <v>136</v>
      </c>
      <c r="F794" s="66">
        <v>20.71698113207547</v>
      </c>
      <c r="G794" s="63"/>
      <c r="H794" s="67"/>
      <c r="I794" s="68"/>
      <c r="J794" s="68"/>
      <c r="K794" s="31" t="s">
        <v>65</v>
      </c>
      <c r="L794" s="76">
        <v>794</v>
      </c>
      <c r="M794" s="76"/>
      <c r="N794" s="70"/>
      <c r="O794" s="78" t="s">
        <v>305</v>
      </c>
      <c r="P794" s="78" t="s">
        <v>543</v>
      </c>
      <c r="Q794" s="78" t="s">
        <v>1072</v>
      </c>
      <c r="R794" s="78" t="s">
        <v>1527</v>
      </c>
      <c r="S794" s="78"/>
      <c r="T794" s="78"/>
      <c r="U794" s="78"/>
      <c r="V794" s="78"/>
      <c r="W794" s="81" t="s">
        <v>1674</v>
      </c>
      <c r="X794" s="81" t="s">
        <v>1674</v>
      </c>
      <c r="Y794" s="78"/>
      <c r="Z794" s="78"/>
      <c r="AA794" s="81" t="s">
        <v>1674</v>
      </c>
      <c r="AB794" s="79">
        <v>24</v>
      </c>
      <c r="AC794" s="80" t="str">
        <f>REPLACE(INDEX(GroupVertices[Group],MATCH("~"&amp;Edges[[#This Row],[Vertex 1]],GroupVertices[Vertex],0)),1,1,"")</f>
        <v>3</v>
      </c>
      <c r="AD794" s="80" t="str">
        <f>REPLACE(INDEX(GroupVertices[Group],MATCH("~"&amp;Edges[[#This Row],[Vertex 2]],GroupVertices[Vertex],0)),1,1,"")</f>
        <v>3</v>
      </c>
      <c r="AE794" s="105"/>
      <c r="AF794" s="105"/>
      <c r="AG794" s="105"/>
      <c r="AH794" s="105"/>
      <c r="AI794" s="105"/>
      <c r="AJ794" s="105"/>
      <c r="AK794" s="105"/>
      <c r="AL794" s="105"/>
      <c r="AM794" s="105"/>
    </row>
    <row r="795" spans="1:39" ht="15">
      <c r="A795" s="62" t="s">
        <v>265</v>
      </c>
      <c r="B795" s="62" t="s">
        <v>263</v>
      </c>
      <c r="C795" s="63" t="s">
        <v>3604</v>
      </c>
      <c r="D795" s="64">
        <v>10</v>
      </c>
      <c r="E795" s="65" t="s">
        <v>136</v>
      </c>
      <c r="F795" s="66">
        <v>20.71698113207547</v>
      </c>
      <c r="G795" s="63"/>
      <c r="H795" s="67"/>
      <c r="I795" s="68"/>
      <c r="J795" s="68"/>
      <c r="K795" s="31" t="s">
        <v>65</v>
      </c>
      <c r="L795" s="76">
        <v>795</v>
      </c>
      <c r="M795" s="76"/>
      <c r="N795" s="70"/>
      <c r="O795" s="78" t="s">
        <v>305</v>
      </c>
      <c r="P795" s="78" t="s">
        <v>543</v>
      </c>
      <c r="Q795" s="78" t="s">
        <v>1072</v>
      </c>
      <c r="R795" s="78" t="s">
        <v>1528</v>
      </c>
      <c r="S795" s="78"/>
      <c r="T795" s="78"/>
      <c r="U795" s="78"/>
      <c r="V795" s="78"/>
      <c r="W795" s="81" t="s">
        <v>1674</v>
      </c>
      <c r="X795" s="81" t="s">
        <v>1674</v>
      </c>
      <c r="Y795" s="78"/>
      <c r="Z795" s="78"/>
      <c r="AA795" s="81" t="s">
        <v>1674</v>
      </c>
      <c r="AB795" s="79">
        <v>24</v>
      </c>
      <c r="AC795" s="80" t="str">
        <f>REPLACE(INDEX(GroupVertices[Group],MATCH("~"&amp;Edges[[#This Row],[Vertex 1]],GroupVertices[Vertex],0)),1,1,"")</f>
        <v>3</v>
      </c>
      <c r="AD795" s="80" t="str">
        <f>REPLACE(INDEX(GroupVertices[Group],MATCH("~"&amp;Edges[[#This Row],[Vertex 2]],GroupVertices[Vertex],0)),1,1,"")</f>
        <v>3</v>
      </c>
      <c r="AE795" s="105"/>
      <c r="AF795" s="105"/>
      <c r="AG795" s="105"/>
      <c r="AH795" s="105"/>
      <c r="AI795" s="105"/>
      <c r="AJ795" s="105"/>
      <c r="AK795" s="105"/>
      <c r="AL795" s="105"/>
      <c r="AM795" s="105"/>
    </row>
    <row r="796" spans="1:39" ht="15">
      <c r="A796" s="62" t="s">
        <v>265</v>
      </c>
      <c r="B796" s="62" t="s">
        <v>263</v>
      </c>
      <c r="C796" s="63" t="s">
        <v>3604</v>
      </c>
      <c r="D796" s="64">
        <v>10</v>
      </c>
      <c r="E796" s="65" t="s">
        <v>136</v>
      </c>
      <c r="F796" s="66">
        <v>20.71698113207547</v>
      </c>
      <c r="G796" s="63"/>
      <c r="H796" s="67"/>
      <c r="I796" s="68"/>
      <c r="J796" s="68"/>
      <c r="K796" s="31" t="s">
        <v>65</v>
      </c>
      <c r="L796" s="76">
        <v>796</v>
      </c>
      <c r="M796" s="76"/>
      <c r="N796" s="70"/>
      <c r="O796" s="78" t="s">
        <v>305</v>
      </c>
      <c r="P796" s="78" t="s">
        <v>543</v>
      </c>
      <c r="Q796" s="78" t="s">
        <v>1072</v>
      </c>
      <c r="R796" s="78" t="s">
        <v>1529</v>
      </c>
      <c r="S796" s="78"/>
      <c r="T796" s="78"/>
      <c r="U796" s="78"/>
      <c r="V796" s="78"/>
      <c r="W796" s="81" t="s">
        <v>1674</v>
      </c>
      <c r="X796" s="81" t="s">
        <v>1674</v>
      </c>
      <c r="Y796" s="78"/>
      <c r="Z796" s="78"/>
      <c r="AA796" s="81" t="s">
        <v>1674</v>
      </c>
      <c r="AB796" s="79">
        <v>24</v>
      </c>
      <c r="AC796" s="80" t="str">
        <f>REPLACE(INDEX(GroupVertices[Group],MATCH("~"&amp;Edges[[#This Row],[Vertex 1]],GroupVertices[Vertex],0)),1,1,"")</f>
        <v>3</v>
      </c>
      <c r="AD796" s="80" t="str">
        <f>REPLACE(INDEX(GroupVertices[Group],MATCH("~"&amp;Edges[[#This Row],[Vertex 2]],GroupVertices[Vertex],0)),1,1,"")</f>
        <v>3</v>
      </c>
      <c r="AE796" s="105"/>
      <c r="AF796" s="105"/>
      <c r="AG796" s="105"/>
      <c r="AH796" s="105"/>
      <c r="AI796" s="105"/>
      <c r="AJ796" s="105"/>
      <c r="AK796" s="105"/>
      <c r="AL796" s="105"/>
      <c r="AM796" s="105"/>
    </row>
    <row r="797" spans="1:39" ht="15">
      <c r="A797" s="62" t="s">
        <v>265</v>
      </c>
      <c r="B797" s="62" t="s">
        <v>263</v>
      </c>
      <c r="C797" s="63" t="s">
        <v>3604</v>
      </c>
      <c r="D797" s="64">
        <v>10</v>
      </c>
      <c r="E797" s="65" t="s">
        <v>136</v>
      </c>
      <c r="F797" s="66">
        <v>20.71698113207547</v>
      </c>
      <c r="G797" s="63"/>
      <c r="H797" s="67"/>
      <c r="I797" s="68"/>
      <c r="J797" s="68"/>
      <c r="K797" s="31" t="s">
        <v>65</v>
      </c>
      <c r="L797" s="76">
        <v>797</v>
      </c>
      <c r="M797" s="76"/>
      <c r="N797" s="70"/>
      <c r="O797" s="78" t="s">
        <v>305</v>
      </c>
      <c r="P797" s="78" t="s">
        <v>543</v>
      </c>
      <c r="Q797" s="78" t="s">
        <v>1073</v>
      </c>
      <c r="R797" s="78" t="s">
        <v>1527</v>
      </c>
      <c r="S797" s="78"/>
      <c r="T797" s="78"/>
      <c r="U797" s="78"/>
      <c r="V797" s="78"/>
      <c r="W797" s="81" t="s">
        <v>1674</v>
      </c>
      <c r="X797" s="81" t="s">
        <v>1674</v>
      </c>
      <c r="Y797" s="78"/>
      <c r="Z797" s="78"/>
      <c r="AA797" s="81" t="s">
        <v>1674</v>
      </c>
      <c r="AB797" s="79">
        <v>24</v>
      </c>
      <c r="AC797" s="80" t="str">
        <f>REPLACE(INDEX(GroupVertices[Group],MATCH("~"&amp;Edges[[#This Row],[Vertex 1]],GroupVertices[Vertex],0)),1,1,"")</f>
        <v>3</v>
      </c>
      <c r="AD797" s="80" t="str">
        <f>REPLACE(INDEX(GroupVertices[Group],MATCH("~"&amp;Edges[[#This Row],[Vertex 2]],GroupVertices[Vertex],0)),1,1,"")</f>
        <v>3</v>
      </c>
      <c r="AE797" s="105"/>
      <c r="AF797" s="105"/>
      <c r="AG797" s="105"/>
      <c r="AH797" s="105"/>
      <c r="AI797" s="105"/>
      <c r="AJ797" s="105"/>
      <c r="AK797" s="105"/>
      <c r="AL797" s="105"/>
      <c r="AM797" s="105"/>
    </row>
    <row r="798" spans="1:39" ht="15">
      <c r="A798" s="62" t="s">
        <v>265</v>
      </c>
      <c r="B798" s="62" t="s">
        <v>263</v>
      </c>
      <c r="C798" s="63" t="s">
        <v>3604</v>
      </c>
      <c r="D798" s="64">
        <v>10</v>
      </c>
      <c r="E798" s="65" t="s">
        <v>136</v>
      </c>
      <c r="F798" s="66">
        <v>20.71698113207547</v>
      </c>
      <c r="G798" s="63"/>
      <c r="H798" s="67"/>
      <c r="I798" s="68"/>
      <c r="J798" s="68"/>
      <c r="K798" s="31" t="s">
        <v>65</v>
      </c>
      <c r="L798" s="76">
        <v>798</v>
      </c>
      <c r="M798" s="76"/>
      <c r="N798" s="70"/>
      <c r="O798" s="78" t="s">
        <v>305</v>
      </c>
      <c r="P798" s="78" t="s">
        <v>543</v>
      </c>
      <c r="Q798" s="78" t="s">
        <v>1073</v>
      </c>
      <c r="R798" s="78" t="s">
        <v>1528</v>
      </c>
      <c r="S798" s="78"/>
      <c r="T798" s="78"/>
      <c r="U798" s="78"/>
      <c r="V798" s="78"/>
      <c r="W798" s="81" t="s">
        <v>1674</v>
      </c>
      <c r="X798" s="81" t="s">
        <v>1674</v>
      </c>
      <c r="Y798" s="78"/>
      <c r="Z798" s="78"/>
      <c r="AA798" s="81" t="s">
        <v>1674</v>
      </c>
      <c r="AB798" s="79">
        <v>24</v>
      </c>
      <c r="AC798" s="80" t="str">
        <f>REPLACE(INDEX(GroupVertices[Group],MATCH("~"&amp;Edges[[#This Row],[Vertex 1]],GroupVertices[Vertex],0)),1,1,"")</f>
        <v>3</v>
      </c>
      <c r="AD798" s="80" t="str">
        <f>REPLACE(INDEX(GroupVertices[Group],MATCH("~"&amp;Edges[[#This Row],[Vertex 2]],GroupVertices[Vertex],0)),1,1,"")</f>
        <v>3</v>
      </c>
      <c r="AE798" s="105"/>
      <c r="AF798" s="105"/>
      <c r="AG798" s="105"/>
      <c r="AH798" s="105"/>
      <c r="AI798" s="105"/>
      <c r="AJ798" s="105"/>
      <c r="AK798" s="105"/>
      <c r="AL798" s="105"/>
      <c r="AM798" s="105"/>
    </row>
    <row r="799" spans="1:39" ht="15">
      <c r="A799" s="62" t="s">
        <v>265</v>
      </c>
      <c r="B799" s="62" t="s">
        <v>263</v>
      </c>
      <c r="C799" s="63" t="s">
        <v>3604</v>
      </c>
      <c r="D799" s="64">
        <v>10</v>
      </c>
      <c r="E799" s="65" t="s">
        <v>136</v>
      </c>
      <c r="F799" s="66">
        <v>20.71698113207547</v>
      </c>
      <c r="G799" s="63"/>
      <c r="H799" s="67"/>
      <c r="I799" s="68"/>
      <c r="J799" s="68"/>
      <c r="K799" s="31" t="s">
        <v>65</v>
      </c>
      <c r="L799" s="76">
        <v>799</v>
      </c>
      <c r="M799" s="76"/>
      <c r="N799" s="70"/>
      <c r="O799" s="78" t="s">
        <v>305</v>
      </c>
      <c r="P799" s="78" t="s">
        <v>543</v>
      </c>
      <c r="Q799" s="78" t="s">
        <v>1073</v>
      </c>
      <c r="R799" s="78" t="s">
        <v>1529</v>
      </c>
      <c r="S799" s="78"/>
      <c r="T799" s="78"/>
      <c r="U799" s="78"/>
      <c r="V799" s="78"/>
      <c r="W799" s="81" t="s">
        <v>1674</v>
      </c>
      <c r="X799" s="81" t="s">
        <v>1674</v>
      </c>
      <c r="Y799" s="78"/>
      <c r="Z799" s="78"/>
      <c r="AA799" s="81" t="s">
        <v>1674</v>
      </c>
      <c r="AB799" s="79">
        <v>24</v>
      </c>
      <c r="AC799" s="80" t="str">
        <f>REPLACE(INDEX(GroupVertices[Group],MATCH("~"&amp;Edges[[#This Row],[Vertex 1]],GroupVertices[Vertex],0)),1,1,"")</f>
        <v>3</v>
      </c>
      <c r="AD799" s="80" t="str">
        <f>REPLACE(INDEX(GroupVertices[Group],MATCH("~"&amp;Edges[[#This Row],[Vertex 2]],GroupVertices[Vertex],0)),1,1,"")</f>
        <v>3</v>
      </c>
      <c r="AE799" s="105"/>
      <c r="AF799" s="105"/>
      <c r="AG799" s="105"/>
      <c r="AH799" s="105"/>
      <c r="AI799" s="105"/>
      <c r="AJ799" s="105"/>
      <c r="AK799" s="105"/>
      <c r="AL799" s="105"/>
      <c r="AM799" s="105"/>
    </row>
    <row r="800" spans="1:39" ht="15">
      <c r="A800" s="62" t="s">
        <v>265</v>
      </c>
      <c r="B800" s="62" t="s">
        <v>263</v>
      </c>
      <c r="C800" s="63" t="s">
        <v>3604</v>
      </c>
      <c r="D800" s="64">
        <v>10</v>
      </c>
      <c r="E800" s="65" t="s">
        <v>136</v>
      </c>
      <c r="F800" s="66">
        <v>20.71698113207547</v>
      </c>
      <c r="G800" s="63"/>
      <c r="H800" s="67"/>
      <c r="I800" s="68"/>
      <c r="J800" s="68"/>
      <c r="K800" s="31" t="s">
        <v>65</v>
      </c>
      <c r="L800" s="76">
        <v>800</v>
      </c>
      <c r="M800" s="76"/>
      <c r="N800" s="70"/>
      <c r="O800" s="78" t="s">
        <v>305</v>
      </c>
      <c r="P800" s="78" t="s">
        <v>543</v>
      </c>
      <c r="Q800" s="78" t="s">
        <v>1074</v>
      </c>
      <c r="R800" s="78" t="s">
        <v>1527</v>
      </c>
      <c r="S800" s="78"/>
      <c r="T800" s="78"/>
      <c r="U800" s="78"/>
      <c r="V800" s="78"/>
      <c r="W800" s="81" t="s">
        <v>1674</v>
      </c>
      <c r="X800" s="81" t="s">
        <v>1674</v>
      </c>
      <c r="Y800" s="78"/>
      <c r="Z800" s="78"/>
      <c r="AA800" s="81" t="s">
        <v>1674</v>
      </c>
      <c r="AB800" s="79">
        <v>24</v>
      </c>
      <c r="AC800" s="80" t="str">
        <f>REPLACE(INDEX(GroupVertices[Group],MATCH("~"&amp;Edges[[#This Row],[Vertex 1]],GroupVertices[Vertex],0)),1,1,"")</f>
        <v>3</v>
      </c>
      <c r="AD800" s="80" t="str">
        <f>REPLACE(INDEX(GroupVertices[Group],MATCH("~"&amp;Edges[[#This Row],[Vertex 2]],GroupVertices[Vertex],0)),1,1,"")</f>
        <v>3</v>
      </c>
      <c r="AE800" s="105"/>
      <c r="AF800" s="105"/>
      <c r="AG800" s="105"/>
      <c r="AH800" s="105"/>
      <c r="AI800" s="105"/>
      <c r="AJ800" s="105"/>
      <c r="AK800" s="105"/>
      <c r="AL800" s="105"/>
      <c r="AM800" s="105"/>
    </row>
    <row r="801" spans="1:39" ht="15">
      <c r="A801" s="62" t="s">
        <v>265</v>
      </c>
      <c r="B801" s="62" t="s">
        <v>263</v>
      </c>
      <c r="C801" s="63" t="s">
        <v>3604</v>
      </c>
      <c r="D801" s="64">
        <v>10</v>
      </c>
      <c r="E801" s="65" t="s">
        <v>136</v>
      </c>
      <c r="F801" s="66">
        <v>20.71698113207547</v>
      </c>
      <c r="G801" s="63"/>
      <c r="H801" s="67"/>
      <c r="I801" s="68"/>
      <c r="J801" s="68"/>
      <c r="K801" s="31" t="s">
        <v>65</v>
      </c>
      <c r="L801" s="76">
        <v>801</v>
      </c>
      <c r="M801" s="76"/>
      <c r="N801" s="70"/>
      <c r="O801" s="78" t="s">
        <v>305</v>
      </c>
      <c r="P801" s="78" t="s">
        <v>543</v>
      </c>
      <c r="Q801" s="78" t="s">
        <v>1074</v>
      </c>
      <c r="R801" s="78" t="s">
        <v>1528</v>
      </c>
      <c r="S801" s="78"/>
      <c r="T801" s="78"/>
      <c r="U801" s="78"/>
      <c r="V801" s="78"/>
      <c r="W801" s="81" t="s">
        <v>1674</v>
      </c>
      <c r="X801" s="81" t="s">
        <v>1674</v>
      </c>
      <c r="Y801" s="78"/>
      <c r="Z801" s="78"/>
      <c r="AA801" s="81" t="s">
        <v>1674</v>
      </c>
      <c r="AB801" s="79">
        <v>24</v>
      </c>
      <c r="AC801" s="80" t="str">
        <f>REPLACE(INDEX(GroupVertices[Group],MATCH("~"&amp;Edges[[#This Row],[Vertex 1]],GroupVertices[Vertex],0)),1,1,"")</f>
        <v>3</v>
      </c>
      <c r="AD801" s="80" t="str">
        <f>REPLACE(INDEX(GroupVertices[Group],MATCH("~"&amp;Edges[[#This Row],[Vertex 2]],GroupVertices[Vertex],0)),1,1,"")</f>
        <v>3</v>
      </c>
      <c r="AE801" s="105"/>
      <c r="AF801" s="105"/>
      <c r="AG801" s="105"/>
      <c r="AH801" s="105"/>
      <c r="AI801" s="105"/>
      <c r="AJ801" s="105"/>
      <c r="AK801" s="105"/>
      <c r="AL801" s="105"/>
      <c r="AM801" s="105"/>
    </row>
    <row r="802" spans="1:39" ht="15">
      <c r="A802" s="62" t="s">
        <v>265</v>
      </c>
      <c r="B802" s="62" t="s">
        <v>263</v>
      </c>
      <c r="C802" s="63" t="s">
        <v>3604</v>
      </c>
      <c r="D802" s="64">
        <v>10</v>
      </c>
      <c r="E802" s="65" t="s">
        <v>136</v>
      </c>
      <c r="F802" s="66">
        <v>20.71698113207547</v>
      </c>
      <c r="G802" s="63"/>
      <c r="H802" s="67"/>
      <c r="I802" s="68"/>
      <c r="J802" s="68"/>
      <c r="K802" s="31" t="s">
        <v>65</v>
      </c>
      <c r="L802" s="76">
        <v>802</v>
      </c>
      <c r="M802" s="76"/>
      <c r="N802" s="70"/>
      <c r="O802" s="78" t="s">
        <v>305</v>
      </c>
      <c r="P802" s="78" t="s">
        <v>543</v>
      </c>
      <c r="Q802" s="78" t="s">
        <v>1074</v>
      </c>
      <c r="R802" s="78" t="s">
        <v>1529</v>
      </c>
      <c r="S802" s="78"/>
      <c r="T802" s="78"/>
      <c r="U802" s="78"/>
      <c r="V802" s="78"/>
      <c r="W802" s="81" t="s">
        <v>1674</v>
      </c>
      <c r="X802" s="81" t="s">
        <v>1674</v>
      </c>
      <c r="Y802" s="78"/>
      <c r="Z802" s="78"/>
      <c r="AA802" s="81" t="s">
        <v>1674</v>
      </c>
      <c r="AB802" s="79">
        <v>24</v>
      </c>
      <c r="AC802" s="80" t="str">
        <f>REPLACE(INDEX(GroupVertices[Group],MATCH("~"&amp;Edges[[#This Row],[Vertex 1]],GroupVertices[Vertex],0)),1,1,"")</f>
        <v>3</v>
      </c>
      <c r="AD802" s="80" t="str">
        <f>REPLACE(INDEX(GroupVertices[Group],MATCH("~"&amp;Edges[[#This Row],[Vertex 2]],GroupVertices[Vertex],0)),1,1,"")</f>
        <v>3</v>
      </c>
      <c r="AE802" s="105"/>
      <c r="AF802" s="105"/>
      <c r="AG802" s="105"/>
      <c r="AH802" s="105"/>
      <c r="AI802" s="105"/>
      <c r="AJ802" s="105"/>
      <c r="AK802" s="105"/>
      <c r="AL802" s="105"/>
      <c r="AM802" s="105"/>
    </row>
    <row r="803" spans="1:39" ht="15">
      <c r="A803" s="62" t="s">
        <v>265</v>
      </c>
      <c r="B803" s="62" t="s">
        <v>263</v>
      </c>
      <c r="C803" s="63" t="s">
        <v>3604</v>
      </c>
      <c r="D803" s="64">
        <v>10</v>
      </c>
      <c r="E803" s="65" t="s">
        <v>136</v>
      </c>
      <c r="F803" s="66">
        <v>20.71698113207547</v>
      </c>
      <c r="G803" s="63"/>
      <c r="H803" s="67"/>
      <c r="I803" s="68"/>
      <c r="J803" s="68"/>
      <c r="K803" s="31" t="s">
        <v>65</v>
      </c>
      <c r="L803" s="76">
        <v>803</v>
      </c>
      <c r="M803" s="76"/>
      <c r="N803" s="70"/>
      <c r="O803" s="78" t="s">
        <v>305</v>
      </c>
      <c r="P803" s="78" t="s">
        <v>543</v>
      </c>
      <c r="Q803" s="78" t="s">
        <v>1075</v>
      </c>
      <c r="R803" s="78" t="s">
        <v>1527</v>
      </c>
      <c r="S803" s="78"/>
      <c r="T803" s="78"/>
      <c r="U803" s="78"/>
      <c r="V803" s="78"/>
      <c r="W803" s="81" t="s">
        <v>1674</v>
      </c>
      <c r="X803" s="81" t="s">
        <v>1674</v>
      </c>
      <c r="Y803" s="78"/>
      <c r="Z803" s="78"/>
      <c r="AA803" s="81" t="s">
        <v>1674</v>
      </c>
      <c r="AB803" s="79">
        <v>24</v>
      </c>
      <c r="AC803" s="80" t="str">
        <f>REPLACE(INDEX(GroupVertices[Group],MATCH("~"&amp;Edges[[#This Row],[Vertex 1]],GroupVertices[Vertex],0)),1,1,"")</f>
        <v>3</v>
      </c>
      <c r="AD803" s="80" t="str">
        <f>REPLACE(INDEX(GroupVertices[Group],MATCH("~"&amp;Edges[[#This Row],[Vertex 2]],GroupVertices[Vertex],0)),1,1,"")</f>
        <v>3</v>
      </c>
      <c r="AE803" s="105"/>
      <c r="AF803" s="105"/>
      <c r="AG803" s="105"/>
      <c r="AH803" s="105"/>
      <c r="AI803" s="105"/>
      <c r="AJ803" s="105"/>
      <c r="AK803" s="105"/>
      <c r="AL803" s="105"/>
      <c r="AM803" s="105"/>
    </row>
    <row r="804" spans="1:39" ht="15">
      <c r="A804" s="62" t="s">
        <v>265</v>
      </c>
      <c r="B804" s="62" t="s">
        <v>263</v>
      </c>
      <c r="C804" s="63" t="s">
        <v>3604</v>
      </c>
      <c r="D804" s="64">
        <v>10</v>
      </c>
      <c r="E804" s="65" t="s">
        <v>136</v>
      </c>
      <c r="F804" s="66">
        <v>20.71698113207547</v>
      </c>
      <c r="G804" s="63"/>
      <c r="H804" s="67"/>
      <c r="I804" s="68"/>
      <c r="J804" s="68"/>
      <c r="K804" s="31" t="s">
        <v>65</v>
      </c>
      <c r="L804" s="76">
        <v>804</v>
      </c>
      <c r="M804" s="76"/>
      <c r="N804" s="70"/>
      <c r="O804" s="78" t="s">
        <v>305</v>
      </c>
      <c r="P804" s="78" t="s">
        <v>543</v>
      </c>
      <c r="Q804" s="78" t="s">
        <v>1075</v>
      </c>
      <c r="R804" s="78" t="s">
        <v>1528</v>
      </c>
      <c r="S804" s="78"/>
      <c r="T804" s="78"/>
      <c r="U804" s="78"/>
      <c r="V804" s="78"/>
      <c r="W804" s="81" t="s">
        <v>1674</v>
      </c>
      <c r="X804" s="81" t="s">
        <v>1674</v>
      </c>
      <c r="Y804" s="78"/>
      <c r="Z804" s="78"/>
      <c r="AA804" s="81" t="s">
        <v>1674</v>
      </c>
      <c r="AB804" s="79">
        <v>24</v>
      </c>
      <c r="AC804" s="80" t="str">
        <f>REPLACE(INDEX(GroupVertices[Group],MATCH("~"&amp;Edges[[#This Row],[Vertex 1]],GroupVertices[Vertex],0)),1,1,"")</f>
        <v>3</v>
      </c>
      <c r="AD804" s="80" t="str">
        <f>REPLACE(INDEX(GroupVertices[Group],MATCH("~"&amp;Edges[[#This Row],[Vertex 2]],GroupVertices[Vertex],0)),1,1,"")</f>
        <v>3</v>
      </c>
      <c r="AE804" s="105"/>
      <c r="AF804" s="105"/>
      <c r="AG804" s="105"/>
      <c r="AH804" s="105"/>
      <c r="AI804" s="105"/>
      <c r="AJ804" s="105"/>
      <c r="AK804" s="105"/>
      <c r="AL804" s="105"/>
      <c r="AM804" s="105"/>
    </row>
    <row r="805" spans="1:39" ht="15">
      <c r="A805" s="62" t="s">
        <v>265</v>
      </c>
      <c r="B805" s="62" t="s">
        <v>263</v>
      </c>
      <c r="C805" s="63" t="s">
        <v>3604</v>
      </c>
      <c r="D805" s="64">
        <v>10</v>
      </c>
      <c r="E805" s="65" t="s">
        <v>136</v>
      </c>
      <c r="F805" s="66">
        <v>20.71698113207547</v>
      </c>
      <c r="G805" s="63"/>
      <c r="H805" s="67"/>
      <c r="I805" s="68"/>
      <c r="J805" s="68"/>
      <c r="K805" s="31" t="s">
        <v>65</v>
      </c>
      <c r="L805" s="76">
        <v>805</v>
      </c>
      <c r="M805" s="76"/>
      <c r="N805" s="70"/>
      <c r="O805" s="78" t="s">
        <v>305</v>
      </c>
      <c r="P805" s="78" t="s">
        <v>543</v>
      </c>
      <c r="Q805" s="78" t="s">
        <v>1075</v>
      </c>
      <c r="R805" s="78" t="s">
        <v>1529</v>
      </c>
      <c r="S805" s="78"/>
      <c r="T805" s="78"/>
      <c r="U805" s="78"/>
      <c r="V805" s="78"/>
      <c r="W805" s="81" t="s">
        <v>1674</v>
      </c>
      <c r="X805" s="81" t="s">
        <v>1674</v>
      </c>
      <c r="Y805" s="78"/>
      <c r="Z805" s="78"/>
      <c r="AA805" s="81" t="s">
        <v>1674</v>
      </c>
      <c r="AB805" s="79">
        <v>24</v>
      </c>
      <c r="AC805" s="80" t="str">
        <f>REPLACE(INDEX(GroupVertices[Group],MATCH("~"&amp;Edges[[#This Row],[Vertex 1]],GroupVertices[Vertex],0)),1,1,"")</f>
        <v>3</v>
      </c>
      <c r="AD805" s="80" t="str">
        <f>REPLACE(INDEX(GroupVertices[Group],MATCH("~"&amp;Edges[[#This Row],[Vertex 2]],GroupVertices[Vertex],0)),1,1,"")</f>
        <v>3</v>
      </c>
      <c r="AE805" s="105"/>
      <c r="AF805" s="105"/>
      <c r="AG805" s="105"/>
      <c r="AH805" s="105"/>
      <c r="AI805" s="105"/>
      <c r="AJ805" s="105"/>
      <c r="AK805" s="105"/>
      <c r="AL805" s="105"/>
      <c r="AM805" s="105"/>
    </row>
    <row r="806" spans="1:39" ht="15">
      <c r="A806" s="62" t="s">
        <v>265</v>
      </c>
      <c r="B806" s="62" t="s">
        <v>263</v>
      </c>
      <c r="C806" s="63" t="s">
        <v>3604</v>
      </c>
      <c r="D806" s="64">
        <v>10</v>
      </c>
      <c r="E806" s="65" t="s">
        <v>136</v>
      </c>
      <c r="F806" s="66">
        <v>20.71698113207547</v>
      </c>
      <c r="G806" s="63"/>
      <c r="H806" s="67"/>
      <c r="I806" s="68"/>
      <c r="J806" s="68"/>
      <c r="K806" s="31" t="s">
        <v>65</v>
      </c>
      <c r="L806" s="76">
        <v>806</v>
      </c>
      <c r="M806" s="76"/>
      <c r="N806" s="70"/>
      <c r="O806" s="78" t="s">
        <v>305</v>
      </c>
      <c r="P806" s="78" t="s">
        <v>543</v>
      </c>
      <c r="Q806" s="78" t="s">
        <v>1076</v>
      </c>
      <c r="R806" s="78" t="s">
        <v>1527</v>
      </c>
      <c r="S806" s="78"/>
      <c r="T806" s="78"/>
      <c r="U806" s="78"/>
      <c r="V806" s="78"/>
      <c r="W806" s="81" t="s">
        <v>1674</v>
      </c>
      <c r="X806" s="81" t="s">
        <v>1674</v>
      </c>
      <c r="Y806" s="78"/>
      <c r="Z806" s="78"/>
      <c r="AA806" s="81" t="s">
        <v>1674</v>
      </c>
      <c r="AB806" s="79">
        <v>24</v>
      </c>
      <c r="AC806" s="80" t="str">
        <f>REPLACE(INDEX(GroupVertices[Group],MATCH("~"&amp;Edges[[#This Row],[Vertex 1]],GroupVertices[Vertex],0)),1,1,"")</f>
        <v>3</v>
      </c>
      <c r="AD806" s="80" t="str">
        <f>REPLACE(INDEX(GroupVertices[Group],MATCH("~"&amp;Edges[[#This Row],[Vertex 2]],GroupVertices[Vertex],0)),1,1,"")</f>
        <v>3</v>
      </c>
      <c r="AE806" s="105"/>
      <c r="AF806" s="105"/>
      <c r="AG806" s="105"/>
      <c r="AH806" s="105"/>
      <c r="AI806" s="105"/>
      <c r="AJ806" s="105"/>
      <c r="AK806" s="105"/>
      <c r="AL806" s="105"/>
      <c r="AM806" s="105"/>
    </row>
    <row r="807" spans="1:39" ht="15">
      <c r="A807" s="62" t="s">
        <v>265</v>
      </c>
      <c r="B807" s="62" t="s">
        <v>263</v>
      </c>
      <c r="C807" s="63" t="s">
        <v>3604</v>
      </c>
      <c r="D807" s="64">
        <v>10</v>
      </c>
      <c r="E807" s="65" t="s">
        <v>136</v>
      </c>
      <c r="F807" s="66">
        <v>20.71698113207547</v>
      </c>
      <c r="G807" s="63"/>
      <c r="H807" s="67"/>
      <c r="I807" s="68"/>
      <c r="J807" s="68"/>
      <c r="K807" s="31" t="s">
        <v>65</v>
      </c>
      <c r="L807" s="76">
        <v>807</v>
      </c>
      <c r="M807" s="76"/>
      <c r="N807" s="70"/>
      <c r="O807" s="78" t="s">
        <v>305</v>
      </c>
      <c r="P807" s="78" t="s">
        <v>543</v>
      </c>
      <c r="Q807" s="78" t="s">
        <v>1076</v>
      </c>
      <c r="R807" s="78" t="s">
        <v>1528</v>
      </c>
      <c r="S807" s="78"/>
      <c r="T807" s="78"/>
      <c r="U807" s="78"/>
      <c r="V807" s="78"/>
      <c r="W807" s="81" t="s">
        <v>1674</v>
      </c>
      <c r="X807" s="81" t="s">
        <v>1674</v>
      </c>
      <c r="Y807" s="78"/>
      <c r="Z807" s="78"/>
      <c r="AA807" s="81" t="s">
        <v>1674</v>
      </c>
      <c r="AB807" s="79">
        <v>24</v>
      </c>
      <c r="AC807" s="80" t="str">
        <f>REPLACE(INDEX(GroupVertices[Group],MATCH("~"&amp;Edges[[#This Row],[Vertex 1]],GroupVertices[Vertex],0)),1,1,"")</f>
        <v>3</v>
      </c>
      <c r="AD807" s="80" t="str">
        <f>REPLACE(INDEX(GroupVertices[Group],MATCH("~"&amp;Edges[[#This Row],[Vertex 2]],GroupVertices[Vertex],0)),1,1,"")</f>
        <v>3</v>
      </c>
      <c r="AE807" s="105"/>
      <c r="AF807" s="105"/>
      <c r="AG807" s="105"/>
      <c r="AH807" s="105"/>
      <c r="AI807" s="105"/>
      <c r="AJ807" s="105"/>
      <c r="AK807" s="105"/>
      <c r="AL807" s="105"/>
      <c r="AM807" s="105"/>
    </row>
    <row r="808" spans="1:39" ht="15">
      <c r="A808" s="62" t="s">
        <v>265</v>
      </c>
      <c r="B808" s="62" t="s">
        <v>263</v>
      </c>
      <c r="C808" s="63" t="s">
        <v>3604</v>
      </c>
      <c r="D808" s="64">
        <v>10</v>
      </c>
      <c r="E808" s="65" t="s">
        <v>136</v>
      </c>
      <c r="F808" s="66">
        <v>20.71698113207547</v>
      </c>
      <c r="G808" s="63"/>
      <c r="H808" s="67"/>
      <c r="I808" s="68"/>
      <c r="J808" s="68"/>
      <c r="K808" s="31" t="s">
        <v>65</v>
      </c>
      <c r="L808" s="76">
        <v>808</v>
      </c>
      <c r="M808" s="76"/>
      <c r="N808" s="70"/>
      <c r="O808" s="78" t="s">
        <v>305</v>
      </c>
      <c r="P808" s="78" t="s">
        <v>543</v>
      </c>
      <c r="Q808" s="78" t="s">
        <v>1076</v>
      </c>
      <c r="R808" s="78" t="s">
        <v>1529</v>
      </c>
      <c r="S808" s="78"/>
      <c r="T808" s="78"/>
      <c r="U808" s="78"/>
      <c r="V808" s="78"/>
      <c r="W808" s="81" t="s">
        <v>1674</v>
      </c>
      <c r="X808" s="81" t="s">
        <v>1674</v>
      </c>
      <c r="Y808" s="78"/>
      <c r="Z808" s="78"/>
      <c r="AA808" s="81" t="s">
        <v>1674</v>
      </c>
      <c r="AB808" s="79">
        <v>24</v>
      </c>
      <c r="AC808" s="80" t="str">
        <f>REPLACE(INDEX(GroupVertices[Group],MATCH("~"&amp;Edges[[#This Row],[Vertex 1]],GroupVertices[Vertex],0)),1,1,"")</f>
        <v>3</v>
      </c>
      <c r="AD808" s="80" t="str">
        <f>REPLACE(INDEX(GroupVertices[Group],MATCH("~"&amp;Edges[[#This Row],[Vertex 2]],GroupVertices[Vertex],0)),1,1,"")</f>
        <v>3</v>
      </c>
      <c r="AE808" s="105"/>
      <c r="AF808" s="105"/>
      <c r="AG808" s="105"/>
      <c r="AH808" s="105"/>
      <c r="AI808" s="105"/>
      <c r="AJ808" s="105"/>
      <c r="AK808" s="105"/>
      <c r="AL808" s="105"/>
      <c r="AM808" s="105"/>
    </row>
    <row r="809" spans="1:39" ht="15">
      <c r="A809" s="62" t="s">
        <v>265</v>
      </c>
      <c r="B809" s="62" t="s">
        <v>263</v>
      </c>
      <c r="C809" s="63" t="s">
        <v>3604</v>
      </c>
      <c r="D809" s="64">
        <v>10</v>
      </c>
      <c r="E809" s="65" t="s">
        <v>136</v>
      </c>
      <c r="F809" s="66">
        <v>20.71698113207547</v>
      </c>
      <c r="G809" s="63"/>
      <c r="H809" s="67"/>
      <c r="I809" s="68"/>
      <c r="J809" s="68"/>
      <c r="K809" s="31" t="s">
        <v>65</v>
      </c>
      <c r="L809" s="76">
        <v>809</v>
      </c>
      <c r="M809" s="76"/>
      <c r="N809" s="70"/>
      <c r="O809" s="78" t="s">
        <v>305</v>
      </c>
      <c r="P809" s="78" t="s">
        <v>483</v>
      </c>
      <c r="Q809" s="78" t="s">
        <v>966</v>
      </c>
      <c r="R809" s="78" t="s">
        <v>964</v>
      </c>
      <c r="S809" s="78"/>
      <c r="T809" s="78"/>
      <c r="U809" s="78"/>
      <c r="V809" s="78"/>
      <c r="W809" s="81" t="s">
        <v>1674</v>
      </c>
      <c r="X809" s="81" t="s">
        <v>1674</v>
      </c>
      <c r="Y809" s="78"/>
      <c r="Z809" s="78"/>
      <c r="AA809" s="81" t="s">
        <v>1674</v>
      </c>
      <c r="AB809" s="79">
        <v>24</v>
      </c>
      <c r="AC809" s="80" t="str">
        <f>REPLACE(INDEX(GroupVertices[Group],MATCH("~"&amp;Edges[[#This Row],[Vertex 1]],GroupVertices[Vertex],0)),1,1,"")</f>
        <v>3</v>
      </c>
      <c r="AD809" s="80" t="str">
        <f>REPLACE(INDEX(GroupVertices[Group],MATCH("~"&amp;Edges[[#This Row],[Vertex 2]],GroupVertices[Vertex],0)),1,1,"")</f>
        <v>3</v>
      </c>
      <c r="AE809" s="105"/>
      <c r="AF809" s="105"/>
      <c r="AG809" s="105"/>
      <c r="AH809" s="105"/>
      <c r="AI809" s="105"/>
      <c r="AJ809" s="105"/>
      <c r="AK809" s="105"/>
      <c r="AL809" s="105"/>
      <c r="AM809" s="105"/>
    </row>
    <row r="810" spans="1:39" ht="15">
      <c r="A810" s="62" t="s">
        <v>265</v>
      </c>
      <c r="B810" s="62" t="s">
        <v>263</v>
      </c>
      <c r="C810" s="63" t="s">
        <v>3604</v>
      </c>
      <c r="D810" s="64">
        <v>10</v>
      </c>
      <c r="E810" s="65" t="s">
        <v>136</v>
      </c>
      <c r="F810" s="66">
        <v>20.71698113207547</v>
      </c>
      <c r="G810" s="63"/>
      <c r="H810" s="67"/>
      <c r="I810" s="68"/>
      <c r="J810" s="68"/>
      <c r="K810" s="31" t="s">
        <v>65</v>
      </c>
      <c r="L810" s="76">
        <v>810</v>
      </c>
      <c r="M810" s="76"/>
      <c r="N810" s="70"/>
      <c r="O810" s="78" t="s">
        <v>305</v>
      </c>
      <c r="P810" s="78" t="s">
        <v>483</v>
      </c>
      <c r="Q810" s="78" t="s">
        <v>966</v>
      </c>
      <c r="R810" s="78" t="s">
        <v>965</v>
      </c>
      <c r="S810" s="78"/>
      <c r="T810" s="78"/>
      <c r="U810" s="78"/>
      <c r="V810" s="78"/>
      <c r="W810" s="81" t="s">
        <v>1674</v>
      </c>
      <c r="X810" s="81" t="s">
        <v>1674</v>
      </c>
      <c r="Y810" s="78"/>
      <c r="Z810" s="78"/>
      <c r="AA810" s="81" t="s">
        <v>1674</v>
      </c>
      <c r="AB810" s="79">
        <v>24</v>
      </c>
      <c r="AC810" s="80" t="str">
        <f>REPLACE(INDEX(GroupVertices[Group],MATCH("~"&amp;Edges[[#This Row],[Vertex 1]],GroupVertices[Vertex],0)),1,1,"")</f>
        <v>3</v>
      </c>
      <c r="AD810" s="80" t="str">
        <f>REPLACE(INDEX(GroupVertices[Group],MATCH("~"&amp;Edges[[#This Row],[Vertex 2]],GroupVertices[Vertex],0)),1,1,"")</f>
        <v>3</v>
      </c>
      <c r="AE810" s="105"/>
      <c r="AF810" s="105"/>
      <c r="AG810" s="105"/>
      <c r="AH810" s="105"/>
      <c r="AI810" s="105"/>
      <c r="AJ810" s="105"/>
      <c r="AK810" s="105"/>
      <c r="AL810" s="105"/>
      <c r="AM810" s="105"/>
    </row>
    <row r="811" spans="1:39" ht="15">
      <c r="A811" s="62" t="s">
        <v>265</v>
      </c>
      <c r="B811" s="62" t="s">
        <v>263</v>
      </c>
      <c r="C811" s="63" t="s">
        <v>3604</v>
      </c>
      <c r="D811" s="64">
        <v>10</v>
      </c>
      <c r="E811" s="65" t="s">
        <v>136</v>
      </c>
      <c r="F811" s="66">
        <v>20.71698113207547</v>
      </c>
      <c r="G811" s="63"/>
      <c r="H811" s="67"/>
      <c r="I811" s="68"/>
      <c r="J811" s="68"/>
      <c r="K811" s="31" t="s">
        <v>65</v>
      </c>
      <c r="L811" s="76">
        <v>811</v>
      </c>
      <c r="M811" s="76"/>
      <c r="N811" s="70"/>
      <c r="O811" s="78" t="s">
        <v>305</v>
      </c>
      <c r="P811" s="78" t="s">
        <v>544</v>
      </c>
      <c r="Q811" s="78" t="s">
        <v>1077</v>
      </c>
      <c r="R811" s="78" t="s">
        <v>1530</v>
      </c>
      <c r="S811" s="78"/>
      <c r="T811" s="78"/>
      <c r="U811" s="78"/>
      <c r="V811" s="78"/>
      <c r="W811" s="81" t="s">
        <v>1674</v>
      </c>
      <c r="X811" s="81" t="s">
        <v>1674</v>
      </c>
      <c r="Y811" s="78"/>
      <c r="Z811" s="78"/>
      <c r="AA811" s="81" t="s">
        <v>1674</v>
      </c>
      <c r="AB811" s="79">
        <v>24</v>
      </c>
      <c r="AC811" s="80" t="str">
        <f>REPLACE(INDEX(GroupVertices[Group],MATCH("~"&amp;Edges[[#This Row],[Vertex 1]],GroupVertices[Vertex],0)),1,1,"")</f>
        <v>3</v>
      </c>
      <c r="AD811" s="80" t="str">
        <f>REPLACE(INDEX(GroupVertices[Group],MATCH("~"&amp;Edges[[#This Row],[Vertex 2]],GroupVertices[Vertex],0)),1,1,"")</f>
        <v>3</v>
      </c>
      <c r="AE811" s="105"/>
      <c r="AF811" s="105"/>
      <c r="AG811" s="105"/>
      <c r="AH811" s="105"/>
      <c r="AI811" s="105"/>
      <c r="AJ811" s="105"/>
      <c r="AK811" s="105"/>
      <c r="AL811" s="105"/>
      <c r="AM811" s="105"/>
    </row>
    <row r="812" spans="1:39" ht="15">
      <c r="A812" s="62" t="s">
        <v>235</v>
      </c>
      <c r="B812" s="62" t="s">
        <v>265</v>
      </c>
      <c r="C812" s="63" t="s">
        <v>3598</v>
      </c>
      <c r="D812" s="64">
        <v>5</v>
      </c>
      <c r="E812" s="65" t="s">
        <v>132</v>
      </c>
      <c r="F812" s="66">
        <v>32</v>
      </c>
      <c r="G812" s="63"/>
      <c r="H812" s="67"/>
      <c r="I812" s="68"/>
      <c r="J812" s="68"/>
      <c r="K812" s="31" t="s">
        <v>65</v>
      </c>
      <c r="L812" s="76">
        <v>812</v>
      </c>
      <c r="M812" s="76"/>
      <c r="N812" s="70"/>
      <c r="O812" s="78" t="s">
        <v>305</v>
      </c>
      <c r="P812" s="78" t="s">
        <v>479</v>
      </c>
      <c r="Q812" s="78" t="s">
        <v>956</v>
      </c>
      <c r="R812" s="78" t="s">
        <v>955</v>
      </c>
      <c r="S812" s="78"/>
      <c r="T812" s="78"/>
      <c r="U812" s="78"/>
      <c r="V812" s="78"/>
      <c r="W812" s="81" t="s">
        <v>1674</v>
      </c>
      <c r="X812" s="81" t="s">
        <v>1674</v>
      </c>
      <c r="Y812" s="78"/>
      <c r="Z812" s="78"/>
      <c r="AA812" s="81" t="s">
        <v>1674</v>
      </c>
      <c r="AB812" s="79">
        <v>1</v>
      </c>
      <c r="AC812" s="80" t="str">
        <f>REPLACE(INDEX(GroupVertices[Group],MATCH("~"&amp;Edges[[#This Row],[Vertex 1]],GroupVertices[Vertex],0)),1,1,"")</f>
        <v>1</v>
      </c>
      <c r="AD812" s="80" t="str">
        <f>REPLACE(INDEX(GroupVertices[Group],MATCH("~"&amp;Edges[[#This Row],[Vertex 2]],GroupVertices[Vertex],0)),1,1,"")</f>
        <v>3</v>
      </c>
      <c r="AE812" s="105"/>
      <c r="AF812" s="105"/>
      <c r="AG812" s="105"/>
      <c r="AH812" s="105"/>
      <c r="AI812" s="105"/>
      <c r="AJ812" s="105"/>
      <c r="AK812" s="105"/>
      <c r="AL812" s="105"/>
      <c r="AM812" s="105"/>
    </row>
    <row r="813" spans="1:39" ht="15">
      <c r="A813" s="62" t="s">
        <v>247</v>
      </c>
      <c r="B813" s="62" t="s">
        <v>265</v>
      </c>
      <c r="C813" s="63" t="s">
        <v>3599</v>
      </c>
      <c r="D813" s="64">
        <v>6.315789473684211</v>
      </c>
      <c r="E813" s="65" t="s">
        <v>136</v>
      </c>
      <c r="F813" s="66">
        <v>29.547169811320757</v>
      </c>
      <c r="G813" s="63"/>
      <c r="H813" s="67"/>
      <c r="I813" s="68"/>
      <c r="J813" s="68"/>
      <c r="K813" s="31" t="s">
        <v>65</v>
      </c>
      <c r="L813" s="76">
        <v>813</v>
      </c>
      <c r="M813" s="76"/>
      <c r="N813" s="70"/>
      <c r="O813" s="78" t="s">
        <v>305</v>
      </c>
      <c r="P813" s="78" t="s">
        <v>545</v>
      </c>
      <c r="Q813" s="78" t="s">
        <v>1078</v>
      </c>
      <c r="R813" s="78" t="s">
        <v>1531</v>
      </c>
      <c r="S813" s="78"/>
      <c r="T813" s="78"/>
      <c r="U813" s="78"/>
      <c r="V813" s="78"/>
      <c r="W813" s="81" t="s">
        <v>1674</v>
      </c>
      <c r="X813" s="81" t="s">
        <v>1674</v>
      </c>
      <c r="Y813" s="78"/>
      <c r="Z813" s="78"/>
      <c r="AA813" s="81" t="s">
        <v>1674</v>
      </c>
      <c r="AB813" s="79">
        <v>6</v>
      </c>
      <c r="AC813" s="80" t="str">
        <f>REPLACE(INDEX(GroupVertices[Group],MATCH("~"&amp;Edges[[#This Row],[Vertex 1]],GroupVertices[Vertex],0)),1,1,"")</f>
        <v>2</v>
      </c>
      <c r="AD813" s="80" t="str">
        <f>REPLACE(INDEX(GroupVertices[Group],MATCH("~"&amp;Edges[[#This Row],[Vertex 2]],GroupVertices[Vertex],0)),1,1,"")</f>
        <v>3</v>
      </c>
      <c r="AE813" s="105"/>
      <c r="AF813" s="105"/>
      <c r="AG813" s="105"/>
      <c r="AH813" s="105"/>
      <c r="AI813" s="105"/>
      <c r="AJ813" s="105"/>
      <c r="AK813" s="105"/>
      <c r="AL813" s="105"/>
      <c r="AM813" s="105"/>
    </row>
    <row r="814" spans="1:39" ht="15">
      <c r="A814" s="62" t="s">
        <v>247</v>
      </c>
      <c r="B814" s="62" t="s">
        <v>265</v>
      </c>
      <c r="C814" s="63" t="s">
        <v>3599</v>
      </c>
      <c r="D814" s="64">
        <v>6.315789473684211</v>
      </c>
      <c r="E814" s="65" t="s">
        <v>136</v>
      </c>
      <c r="F814" s="66">
        <v>29.547169811320757</v>
      </c>
      <c r="G814" s="63"/>
      <c r="H814" s="67"/>
      <c r="I814" s="68"/>
      <c r="J814" s="68"/>
      <c r="K814" s="31" t="s">
        <v>65</v>
      </c>
      <c r="L814" s="76">
        <v>814</v>
      </c>
      <c r="M814" s="76"/>
      <c r="N814" s="70"/>
      <c r="O814" s="78" t="s">
        <v>305</v>
      </c>
      <c r="P814" s="78" t="s">
        <v>545</v>
      </c>
      <c r="Q814" s="78" t="s">
        <v>1079</v>
      </c>
      <c r="R814" s="78" t="s">
        <v>1531</v>
      </c>
      <c r="S814" s="78"/>
      <c r="T814" s="78"/>
      <c r="U814" s="78"/>
      <c r="V814" s="78"/>
      <c r="W814" s="81" t="s">
        <v>1674</v>
      </c>
      <c r="X814" s="81" t="s">
        <v>1674</v>
      </c>
      <c r="Y814" s="78"/>
      <c r="Z814" s="78"/>
      <c r="AA814" s="81" t="s">
        <v>1674</v>
      </c>
      <c r="AB814" s="79">
        <v>6</v>
      </c>
      <c r="AC814" s="80" t="str">
        <f>REPLACE(INDEX(GroupVertices[Group],MATCH("~"&amp;Edges[[#This Row],[Vertex 1]],GroupVertices[Vertex],0)),1,1,"")</f>
        <v>2</v>
      </c>
      <c r="AD814" s="80" t="str">
        <f>REPLACE(INDEX(GroupVertices[Group],MATCH("~"&amp;Edges[[#This Row],[Vertex 2]],GroupVertices[Vertex],0)),1,1,"")</f>
        <v>3</v>
      </c>
      <c r="AE814" s="105"/>
      <c r="AF814" s="105"/>
      <c r="AG814" s="105"/>
      <c r="AH814" s="105"/>
      <c r="AI814" s="105"/>
      <c r="AJ814" s="105"/>
      <c r="AK814" s="105"/>
      <c r="AL814" s="105"/>
      <c r="AM814" s="105"/>
    </row>
    <row r="815" spans="1:39" ht="15">
      <c r="A815" s="62" t="s">
        <v>247</v>
      </c>
      <c r="B815" s="62" t="s">
        <v>265</v>
      </c>
      <c r="C815" s="63" t="s">
        <v>3599</v>
      </c>
      <c r="D815" s="64">
        <v>6.315789473684211</v>
      </c>
      <c r="E815" s="65" t="s">
        <v>136</v>
      </c>
      <c r="F815" s="66">
        <v>29.547169811320757</v>
      </c>
      <c r="G815" s="63"/>
      <c r="H815" s="67"/>
      <c r="I815" s="68"/>
      <c r="J815" s="68"/>
      <c r="K815" s="31" t="s">
        <v>65</v>
      </c>
      <c r="L815" s="76">
        <v>815</v>
      </c>
      <c r="M815" s="76"/>
      <c r="N815" s="70"/>
      <c r="O815" s="78" t="s">
        <v>305</v>
      </c>
      <c r="P815" s="78" t="s">
        <v>531</v>
      </c>
      <c r="Q815" s="78" t="s">
        <v>1046</v>
      </c>
      <c r="R815" s="78" t="s">
        <v>1044</v>
      </c>
      <c r="S815" s="78"/>
      <c r="T815" s="78"/>
      <c r="U815" s="78"/>
      <c r="V815" s="78"/>
      <c r="W815" s="81" t="s">
        <v>1674</v>
      </c>
      <c r="X815" s="81" t="s">
        <v>1674</v>
      </c>
      <c r="Y815" s="78"/>
      <c r="Z815" s="78"/>
      <c r="AA815" s="81" t="s">
        <v>1674</v>
      </c>
      <c r="AB815" s="79">
        <v>6</v>
      </c>
      <c r="AC815" s="80" t="str">
        <f>REPLACE(INDEX(GroupVertices[Group],MATCH("~"&amp;Edges[[#This Row],[Vertex 1]],GroupVertices[Vertex],0)),1,1,"")</f>
        <v>2</v>
      </c>
      <c r="AD815" s="80" t="str">
        <f>REPLACE(INDEX(GroupVertices[Group],MATCH("~"&amp;Edges[[#This Row],[Vertex 2]],GroupVertices[Vertex],0)),1,1,"")</f>
        <v>3</v>
      </c>
      <c r="AE815" s="105"/>
      <c r="AF815" s="105"/>
      <c r="AG815" s="105"/>
      <c r="AH815" s="105"/>
      <c r="AI815" s="105"/>
      <c r="AJ815" s="105"/>
      <c r="AK815" s="105"/>
      <c r="AL815" s="105"/>
      <c r="AM815" s="105"/>
    </row>
    <row r="816" spans="1:39" ht="15">
      <c r="A816" s="62" t="s">
        <v>247</v>
      </c>
      <c r="B816" s="62" t="s">
        <v>265</v>
      </c>
      <c r="C816" s="63" t="s">
        <v>3599</v>
      </c>
      <c r="D816" s="64">
        <v>6.315789473684211</v>
      </c>
      <c r="E816" s="65" t="s">
        <v>136</v>
      </c>
      <c r="F816" s="66">
        <v>29.547169811320757</v>
      </c>
      <c r="G816" s="63"/>
      <c r="H816" s="67"/>
      <c r="I816" s="68"/>
      <c r="J816" s="68"/>
      <c r="K816" s="31" t="s">
        <v>65</v>
      </c>
      <c r="L816" s="76">
        <v>816</v>
      </c>
      <c r="M816" s="76"/>
      <c r="N816" s="70"/>
      <c r="O816" s="78" t="s">
        <v>305</v>
      </c>
      <c r="P816" s="78" t="s">
        <v>531</v>
      </c>
      <c r="Q816" s="78" t="s">
        <v>1046</v>
      </c>
      <c r="R816" s="78" t="s">
        <v>1045</v>
      </c>
      <c r="S816" s="78"/>
      <c r="T816" s="78"/>
      <c r="U816" s="78"/>
      <c r="V816" s="78"/>
      <c r="W816" s="81" t="s">
        <v>1674</v>
      </c>
      <c r="X816" s="81" t="s">
        <v>1674</v>
      </c>
      <c r="Y816" s="78"/>
      <c r="Z816" s="78"/>
      <c r="AA816" s="81" t="s">
        <v>1674</v>
      </c>
      <c r="AB816" s="79">
        <v>6</v>
      </c>
      <c r="AC816" s="80" t="str">
        <f>REPLACE(INDEX(GroupVertices[Group],MATCH("~"&amp;Edges[[#This Row],[Vertex 1]],GroupVertices[Vertex],0)),1,1,"")</f>
        <v>2</v>
      </c>
      <c r="AD816" s="80" t="str">
        <f>REPLACE(INDEX(GroupVertices[Group],MATCH("~"&amp;Edges[[#This Row],[Vertex 2]],GroupVertices[Vertex],0)),1,1,"")</f>
        <v>3</v>
      </c>
      <c r="AE816" s="105"/>
      <c r="AF816" s="105"/>
      <c r="AG816" s="105"/>
      <c r="AH816" s="105"/>
      <c r="AI816" s="105"/>
      <c r="AJ816" s="105"/>
      <c r="AK816" s="105"/>
      <c r="AL816" s="105"/>
      <c r="AM816" s="105"/>
    </row>
    <row r="817" spans="1:39" ht="15">
      <c r="A817" s="62" t="s">
        <v>247</v>
      </c>
      <c r="B817" s="62" t="s">
        <v>265</v>
      </c>
      <c r="C817" s="63" t="s">
        <v>3599</v>
      </c>
      <c r="D817" s="64">
        <v>6.315789473684211</v>
      </c>
      <c r="E817" s="65" t="s">
        <v>136</v>
      </c>
      <c r="F817" s="66">
        <v>29.547169811320757</v>
      </c>
      <c r="G817" s="63"/>
      <c r="H817" s="67"/>
      <c r="I817" s="68"/>
      <c r="J817" s="68"/>
      <c r="K817" s="31" t="s">
        <v>65</v>
      </c>
      <c r="L817" s="76">
        <v>817</v>
      </c>
      <c r="M817" s="76"/>
      <c r="N817" s="70"/>
      <c r="O817" s="78" t="s">
        <v>305</v>
      </c>
      <c r="P817" s="78" t="s">
        <v>531</v>
      </c>
      <c r="Q817" s="78" t="s">
        <v>1047</v>
      </c>
      <c r="R817" s="78" t="s">
        <v>1044</v>
      </c>
      <c r="S817" s="78"/>
      <c r="T817" s="78"/>
      <c r="U817" s="78"/>
      <c r="V817" s="78"/>
      <c r="W817" s="81" t="s">
        <v>1674</v>
      </c>
      <c r="X817" s="81" t="s">
        <v>1674</v>
      </c>
      <c r="Y817" s="78"/>
      <c r="Z817" s="78"/>
      <c r="AA817" s="81" t="s">
        <v>1674</v>
      </c>
      <c r="AB817" s="79">
        <v>6</v>
      </c>
      <c r="AC817" s="80" t="str">
        <f>REPLACE(INDEX(GroupVertices[Group],MATCH("~"&amp;Edges[[#This Row],[Vertex 1]],GroupVertices[Vertex],0)),1,1,"")</f>
        <v>2</v>
      </c>
      <c r="AD817" s="80" t="str">
        <f>REPLACE(INDEX(GroupVertices[Group],MATCH("~"&amp;Edges[[#This Row],[Vertex 2]],GroupVertices[Vertex],0)),1,1,"")</f>
        <v>3</v>
      </c>
      <c r="AE817" s="105"/>
      <c r="AF817" s="105"/>
      <c r="AG817" s="105"/>
      <c r="AH817" s="105"/>
      <c r="AI817" s="105"/>
      <c r="AJ817" s="105"/>
      <c r="AK817" s="105"/>
      <c r="AL817" s="105"/>
      <c r="AM817" s="105"/>
    </row>
    <row r="818" spans="1:39" ht="15">
      <c r="A818" s="62" t="s">
        <v>247</v>
      </c>
      <c r="B818" s="62" t="s">
        <v>265</v>
      </c>
      <c r="C818" s="63" t="s">
        <v>3599</v>
      </c>
      <c r="D818" s="64">
        <v>6.315789473684211</v>
      </c>
      <c r="E818" s="65" t="s">
        <v>136</v>
      </c>
      <c r="F818" s="66">
        <v>29.547169811320757</v>
      </c>
      <c r="G818" s="63"/>
      <c r="H818" s="67"/>
      <c r="I818" s="68"/>
      <c r="J818" s="68"/>
      <c r="K818" s="31" t="s">
        <v>65</v>
      </c>
      <c r="L818" s="76">
        <v>818</v>
      </c>
      <c r="M818" s="76"/>
      <c r="N818" s="70"/>
      <c r="O818" s="78" t="s">
        <v>305</v>
      </c>
      <c r="P818" s="78" t="s">
        <v>531</v>
      </c>
      <c r="Q818" s="78" t="s">
        <v>1047</v>
      </c>
      <c r="R818" s="78" t="s">
        <v>1045</v>
      </c>
      <c r="S818" s="78"/>
      <c r="T818" s="78"/>
      <c r="U818" s="78"/>
      <c r="V818" s="78"/>
      <c r="W818" s="81" t="s">
        <v>1674</v>
      </c>
      <c r="X818" s="81" t="s">
        <v>1674</v>
      </c>
      <c r="Y818" s="78"/>
      <c r="Z818" s="78"/>
      <c r="AA818" s="81" t="s">
        <v>1674</v>
      </c>
      <c r="AB818" s="79">
        <v>6</v>
      </c>
      <c r="AC818" s="80" t="str">
        <f>REPLACE(INDEX(GroupVertices[Group],MATCH("~"&amp;Edges[[#This Row],[Vertex 1]],GroupVertices[Vertex],0)),1,1,"")</f>
        <v>2</v>
      </c>
      <c r="AD818" s="80" t="str">
        <f>REPLACE(INDEX(GroupVertices[Group],MATCH("~"&amp;Edges[[#This Row],[Vertex 2]],GroupVertices[Vertex],0)),1,1,"")</f>
        <v>3</v>
      </c>
      <c r="AE818" s="105"/>
      <c r="AF818" s="105"/>
      <c r="AG818" s="105"/>
      <c r="AH818" s="105"/>
      <c r="AI818" s="105"/>
      <c r="AJ818" s="105"/>
      <c r="AK818" s="105"/>
      <c r="AL818" s="105"/>
      <c r="AM818" s="105"/>
    </row>
    <row r="819" spans="1:39" ht="15">
      <c r="A819" s="62" t="s">
        <v>277</v>
      </c>
      <c r="B819" s="62" t="s">
        <v>265</v>
      </c>
      <c r="C819" s="63" t="s">
        <v>3598</v>
      </c>
      <c r="D819" s="64">
        <v>5.2631578947368425</v>
      </c>
      <c r="E819" s="65" t="s">
        <v>136</v>
      </c>
      <c r="F819" s="66">
        <v>31.50943396226415</v>
      </c>
      <c r="G819" s="63"/>
      <c r="H819" s="67"/>
      <c r="I819" s="68"/>
      <c r="J819" s="68"/>
      <c r="K819" s="31" t="s">
        <v>65</v>
      </c>
      <c r="L819" s="76">
        <v>819</v>
      </c>
      <c r="M819" s="76"/>
      <c r="N819" s="70"/>
      <c r="O819" s="78" t="s">
        <v>305</v>
      </c>
      <c r="P819" s="78" t="s">
        <v>483</v>
      </c>
      <c r="Q819" s="78" t="s">
        <v>967</v>
      </c>
      <c r="R819" s="78" t="s">
        <v>966</v>
      </c>
      <c r="S819" s="78"/>
      <c r="T819" s="78"/>
      <c r="U819" s="78"/>
      <c r="V819" s="78"/>
      <c r="W819" s="81" t="s">
        <v>1674</v>
      </c>
      <c r="X819" s="81" t="s">
        <v>1674</v>
      </c>
      <c r="Y819" s="78"/>
      <c r="Z819" s="78"/>
      <c r="AA819" s="81" t="s">
        <v>1674</v>
      </c>
      <c r="AB819" s="79">
        <v>2</v>
      </c>
      <c r="AC819" s="80" t="str">
        <f>REPLACE(INDEX(GroupVertices[Group],MATCH("~"&amp;Edges[[#This Row],[Vertex 1]],GroupVertices[Vertex],0)),1,1,"")</f>
        <v>1</v>
      </c>
      <c r="AD819" s="80" t="str">
        <f>REPLACE(INDEX(GroupVertices[Group],MATCH("~"&amp;Edges[[#This Row],[Vertex 2]],GroupVertices[Vertex],0)),1,1,"")</f>
        <v>3</v>
      </c>
      <c r="AE819" s="105"/>
      <c r="AF819" s="105"/>
      <c r="AG819" s="105"/>
      <c r="AH819" s="105"/>
      <c r="AI819" s="105"/>
      <c r="AJ819" s="105"/>
      <c r="AK819" s="105"/>
      <c r="AL819" s="105"/>
      <c r="AM819" s="105"/>
    </row>
    <row r="820" spans="1:39" ht="15">
      <c r="A820" s="62" t="s">
        <v>277</v>
      </c>
      <c r="B820" s="62" t="s">
        <v>265</v>
      </c>
      <c r="C820" s="63" t="s">
        <v>3598</v>
      </c>
      <c r="D820" s="64">
        <v>5.2631578947368425</v>
      </c>
      <c r="E820" s="65" t="s">
        <v>136</v>
      </c>
      <c r="F820" s="66">
        <v>31.50943396226415</v>
      </c>
      <c r="G820" s="63"/>
      <c r="H820" s="67"/>
      <c r="I820" s="68"/>
      <c r="J820" s="68"/>
      <c r="K820" s="31" t="s">
        <v>65</v>
      </c>
      <c r="L820" s="76">
        <v>820</v>
      </c>
      <c r="M820" s="76"/>
      <c r="N820" s="70"/>
      <c r="O820" s="78" t="s">
        <v>305</v>
      </c>
      <c r="P820" s="78" t="s">
        <v>479</v>
      </c>
      <c r="Q820" s="78" t="s">
        <v>956</v>
      </c>
      <c r="R820" s="78" t="s">
        <v>955</v>
      </c>
      <c r="S820" s="78"/>
      <c r="T820" s="78"/>
      <c r="U820" s="78"/>
      <c r="V820" s="78"/>
      <c r="W820" s="81" t="s">
        <v>1674</v>
      </c>
      <c r="X820" s="81" t="s">
        <v>1674</v>
      </c>
      <c r="Y820" s="78"/>
      <c r="Z820" s="78"/>
      <c r="AA820" s="81" t="s">
        <v>1674</v>
      </c>
      <c r="AB820" s="79">
        <v>2</v>
      </c>
      <c r="AC820" s="80" t="str">
        <f>REPLACE(INDEX(GroupVertices[Group],MATCH("~"&amp;Edges[[#This Row],[Vertex 1]],GroupVertices[Vertex],0)),1,1,"")</f>
        <v>1</v>
      </c>
      <c r="AD820" s="80" t="str">
        <f>REPLACE(INDEX(GroupVertices[Group],MATCH("~"&amp;Edges[[#This Row],[Vertex 2]],GroupVertices[Vertex],0)),1,1,"")</f>
        <v>3</v>
      </c>
      <c r="AE820" s="105"/>
      <c r="AF820" s="105"/>
      <c r="AG820" s="105"/>
      <c r="AH820" s="105"/>
      <c r="AI820" s="105"/>
      <c r="AJ820" s="105"/>
      <c r="AK820" s="105"/>
      <c r="AL820" s="105"/>
      <c r="AM820" s="105"/>
    </row>
    <row r="821" spans="1:39" ht="15">
      <c r="A821" s="62" t="s">
        <v>279</v>
      </c>
      <c r="B821" s="62" t="s">
        <v>265</v>
      </c>
      <c r="C821" s="63" t="s">
        <v>3598</v>
      </c>
      <c r="D821" s="64">
        <v>5.2631578947368425</v>
      </c>
      <c r="E821" s="65" t="s">
        <v>136</v>
      </c>
      <c r="F821" s="66">
        <v>31.50943396226415</v>
      </c>
      <c r="G821" s="63"/>
      <c r="H821" s="67"/>
      <c r="I821" s="68"/>
      <c r="J821" s="68"/>
      <c r="K821" s="31" t="s">
        <v>65</v>
      </c>
      <c r="L821" s="76">
        <v>821</v>
      </c>
      <c r="M821" s="76"/>
      <c r="N821" s="70"/>
      <c r="O821" s="78" t="s">
        <v>305</v>
      </c>
      <c r="P821" s="78" t="s">
        <v>479</v>
      </c>
      <c r="Q821" s="78" t="s">
        <v>955</v>
      </c>
      <c r="R821" s="78" t="s">
        <v>955</v>
      </c>
      <c r="S821" s="78"/>
      <c r="T821" s="78"/>
      <c r="U821" s="78"/>
      <c r="V821" s="78"/>
      <c r="W821" s="81" t="s">
        <v>1674</v>
      </c>
      <c r="X821" s="81" t="s">
        <v>1674</v>
      </c>
      <c r="Y821" s="78"/>
      <c r="Z821" s="78"/>
      <c r="AA821" s="81" t="s">
        <v>1674</v>
      </c>
      <c r="AB821" s="79">
        <v>2</v>
      </c>
      <c r="AC821" s="80" t="str">
        <f>REPLACE(INDEX(GroupVertices[Group],MATCH("~"&amp;Edges[[#This Row],[Vertex 1]],GroupVertices[Vertex],0)),1,1,"")</f>
        <v>3</v>
      </c>
      <c r="AD821" s="80" t="str">
        <f>REPLACE(INDEX(GroupVertices[Group],MATCH("~"&amp;Edges[[#This Row],[Vertex 2]],GroupVertices[Vertex],0)),1,1,"")</f>
        <v>3</v>
      </c>
      <c r="AE821" s="105"/>
      <c r="AF821" s="105"/>
      <c r="AG821" s="105"/>
      <c r="AH821" s="105"/>
      <c r="AI821" s="105"/>
      <c r="AJ821" s="105"/>
      <c r="AK821" s="105"/>
      <c r="AL821" s="105"/>
      <c r="AM821" s="105"/>
    </row>
    <row r="822" spans="1:39" ht="15">
      <c r="A822" s="62" t="s">
        <v>279</v>
      </c>
      <c r="B822" s="62" t="s">
        <v>265</v>
      </c>
      <c r="C822" s="63" t="s">
        <v>3598</v>
      </c>
      <c r="D822" s="64">
        <v>5.2631578947368425</v>
      </c>
      <c r="E822" s="65" t="s">
        <v>136</v>
      </c>
      <c r="F822" s="66">
        <v>31.50943396226415</v>
      </c>
      <c r="G822" s="63"/>
      <c r="H822" s="67"/>
      <c r="I822" s="68"/>
      <c r="J822" s="68"/>
      <c r="K822" s="31" t="s">
        <v>65</v>
      </c>
      <c r="L822" s="76">
        <v>822</v>
      </c>
      <c r="M822" s="76"/>
      <c r="N822" s="70"/>
      <c r="O822" s="78" t="s">
        <v>305</v>
      </c>
      <c r="P822" s="78" t="s">
        <v>483</v>
      </c>
      <c r="Q822" s="78" t="s">
        <v>968</v>
      </c>
      <c r="R822" s="78" t="s">
        <v>966</v>
      </c>
      <c r="S822" s="78"/>
      <c r="T822" s="78"/>
      <c r="U822" s="78"/>
      <c r="V822" s="78"/>
      <c r="W822" s="81" t="s">
        <v>1674</v>
      </c>
      <c r="X822" s="81" t="s">
        <v>1674</v>
      </c>
      <c r="Y822" s="78"/>
      <c r="Z822" s="78"/>
      <c r="AA822" s="81" t="s">
        <v>1674</v>
      </c>
      <c r="AB822" s="79">
        <v>2</v>
      </c>
      <c r="AC822" s="80" t="str">
        <f>REPLACE(INDEX(GroupVertices[Group],MATCH("~"&amp;Edges[[#This Row],[Vertex 1]],GroupVertices[Vertex],0)),1,1,"")</f>
        <v>3</v>
      </c>
      <c r="AD822" s="80" t="str">
        <f>REPLACE(INDEX(GroupVertices[Group],MATCH("~"&amp;Edges[[#This Row],[Vertex 2]],GroupVertices[Vertex],0)),1,1,"")</f>
        <v>3</v>
      </c>
      <c r="AE822" s="105"/>
      <c r="AF822" s="105"/>
      <c r="AG822" s="105"/>
      <c r="AH822" s="105"/>
      <c r="AI822" s="105"/>
      <c r="AJ822" s="105"/>
      <c r="AK822" s="105"/>
      <c r="AL822" s="105"/>
      <c r="AM822" s="105"/>
    </row>
    <row r="823" spans="1:39" ht="15">
      <c r="A823" s="62" t="s">
        <v>280</v>
      </c>
      <c r="B823" s="62" t="s">
        <v>265</v>
      </c>
      <c r="C823" s="63" t="s">
        <v>3598</v>
      </c>
      <c r="D823" s="64">
        <v>5.2631578947368425</v>
      </c>
      <c r="E823" s="65" t="s">
        <v>136</v>
      </c>
      <c r="F823" s="66">
        <v>31.50943396226415</v>
      </c>
      <c r="G823" s="63"/>
      <c r="H823" s="67"/>
      <c r="I823" s="68"/>
      <c r="J823" s="68"/>
      <c r="K823" s="31" t="s">
        <v>65</v>
      </c>
      <c r="L823" s="76">
        <v>823</v>
      </c>
      <c r="M823" s="76"/>
      <c r="N823" s="70"/>
      <c r="O823" s="78" t="s">
        <v>305</v>
      </c>
      <c r="P823" s="78" t="s">
        <v>483</v>
      </c>
      <c r="Q823" s="78" t="s">
        <v>969</v>
      </c>
      <c r="R823" s="78" t="s">
        <v>966</v>
      </c>
      <c r="S823" s="78"/>
      <c r="T823" s="78"/>
      <c r="U823" s="78"/>
      <c r="V823" s="78"/>
      <c r="W823" s="81" t="s">
        <v>1674</v>
      </c>
      <c r="X823" s="81" t="s">
        <v>1674</v>
      </c>
      <c r="Y823" s="78"/>
      <c r="Z823" s="78"/>
      <c r="AA823" s="81" t="s">
        <v>1674</v>
      </c>
      <c r="AB823" s="79">
        <v>2</v>
      </c>
      <c r="AC823" s="80" t="str">
        <f>REPLACE(INDEX(GroupVertices[Group],MATCH("~"&amp;Edges[[#This Row],[Vertex 1]],GroupVertices[Vertex],0)),1,1,"")</f>
        <v>3</v>
      </c>
      <c r="AD823" s="80" t="str">
        <f>REPLACE(INDEX(GroupVertices[Group],MATCH("~"&amp;Edges[[#This Row],[Vertex 2]],GroupVertices[Vertex],0)),1,1,"")</f>
        <v>3</v>
      </c>
      <c r="AE823" s="105"/>
      <c r="AF823" s="105"/>
      <c r="AG823" s="105"/>
      <c r="AH823" s="105"/>
      <c r="AI823" s="105"/>
      <c r="AJ823" s="105"/>
      <c r="AK823" s="105"/>
      <c r="AL823" s="105"/>
      <c r="AM823" s="105"/>
    </row>
    <row r="824" spans="1:39" ht="15">
      <c r="A824" s="62" t="s">
        <v>280</v>
      </c>
      <c r="B824" s="62" t="s">
        <v>265</v>
      </c>
      <c r="C824" s="63" t="s">
        <v>3598</v>
      </c>
      <c r="D824" s="64">
        <v>5.2631578947368425</v>
      </c>
      <c r="E824" s="65" t="s">
        <v>136</v>
      </c>
      <c r="F824" s="66">
        <v>31.50943396226415</v>
      </c>
      <c r="G824" s="63"/>
      <c r="H824" s="67"/>
      <c r="I824" s="68"/>
      <c r="J824" s="68"/>
      <c r="K824" s="31" t="s">
        <v>65</v>
      </c>
      <c r="L824" s="76">
        <v>824</v>
      </c>
      <c r="M824" s="76"/>
      <c r="N824" s="70"/>
      <c r="O824" s="78" t="s">
        <v>305</v>
      </c>
      <c r="P824" s="78" t="s">
        <v>479</v>
      </c>
      <c r="Q824" s="78" t="s">
        <v>956</v>
      </c>
      <c r="R824" s="78" t="s">
        <v>955</v>
      </c>
      <c r="S824" s="78"/>
      <c r="T824" s="78"/>
      <c r="U824" s="78"/>
      <c r="V824" s="78"/>
      <c r="W824" s="81" t="s">
        <v>1674</v>
      </c>
      <c r="X824" s="81" t="s">
        <v>1674</v>
      </c>
      <c r="Y824" s="78"/>
      <c r="Z824" s="78"/>
      <c r="AA824" s="81" t="s">
        <v>1674</v>
      </c>
      <c r="AB824" s="79">
        <v>2</v>
      </c>
      <c r="AC824" s="80" t="str">
        <f>REPLACE(INDEX(GroupVertices[Group],MATCH("~"&amp;Edges[[#This Row],[Vertex 1]],GroupVertices[Vertex],0)),1,1,"")</f>
        <v>3</v>
      </c>
      <c r="AD824" s="80" t="str">
        <f>REPLACE(INDEX(GroupVertices[Group],MATCH("~"&amp;Edges[[#This Row],[Vertex 2]],GroupVertices[Vertex],0)),1,1,"")</f>
        <v>3</v>
      </c>
      <c r="AE824" s="105"/>
      <c r="AF824" s="105"/>
      <c r="AG824" s="105"/>
      <c r="AH824" s="105"/>
      <c r="AI824" s="105"/>
      <c r="AJ824" s="105"/>
      <c r="AK824" s="105"/>
      <c r="AL824" s="105"/>
      <c r="AM824" s="105"/>
    </row>
    <row r="825" spans="1:39" ht="15">
      <c r="A825" s="62" t="s">
        <v>285</v>
      </c>
      <c r="B825" s="62" t="s">
        <v>265</v>
      </c>
      <c r="C825" s="63" t="s">
        <v>3598</v>
      </c>
      <c r="D825" s="64">
        <v>5</v>
      </c>
      <c r="E825" s="65" t="s">
        <v>132</v>
      </c>
      <c r="F825" s="66">
        <v>32</v>
      </c>
      <c r="G825" s="63"/>
      <c r="H825" s="67"/>
      <c r="I825" s="68"/>
      <c r="J825" s="68"/>
      <c r="K825" s="31" t="s">
        <v>65</v>
      </c>
      <c r="L825" s="76">
        <v>825</v>
      </c>
      <c r="M825" s="76"/>
      <c r="N825" s="70"/>
      <c r="O825" s="78" t="s">
        <v>305</v>
      </c>
      <c r="P825" s="78" t="s">
        <v>546</v>
      </c>
      <c r="Q825" s="78" t="s">
        <v>1080</v>
      </c>
      <c r="R825" s="78" t="s">
        <v>1532</v>
      </c>
      <c r="S825" s="78"/>
      <c r="T825" s="78"/>
      <c r="U825" s="78"/>
      <c r="V825" s="78"/>
      <c r="W825" s="81" t="s">
        <v>1674</v>
      </c>
      <c r="X825" s="81" t="s">
        <v>1674</v>
      </c>
      <c r="Y825" s="78"/>
      <c r="Z825" s="78"/>
      <c r="AA825" s="81" t="s">
        <v>1674</v>
      </c>
      <c r="AB825" s="79">
        <v>1</v>
      </c>
      <c r="AC825" s="80" t="str">
        <f>REPLACE(INDEX(GroupVertices[Group],MATCH("~"&amp;Edges[[#This Row],[Vertex 1]],GroupVertices[Vertex],0)),1,1,"")</f>
        <v>1</v>
      </c>
      <c r="AD825" s="80" t="str">
        <f>REPLACE(INDEX(GroupVertices[Group],MATCH("~"&amp;Edges[[#This Row],[Vertex 2]],GroupVertices[Vertex],0)),1,1,"")</f>
        <v>3</v>
      </c>
      <c r="AE825" s="105"/>
      <c r="AF825" s="105"/>
      <c r="AG825" s="105"/>
      <c r="AH825" s="105"/>
      <c r="AI825" s="105"/>
      <c r="AJ825" s="105"/>
      <c r="AK825" s="105"/>
      <c r="AL825" s="105"/>
      <c r="AM825" s="105"/>
    </row>
    <row r="826" spans="1:39" ht="15">
      <c r="A826" s="62" t="s">
        <v>235</v>
      </c>
      <c r="B826" s="62" t="s">
        <v>294</v>
      </c>
      <c r="C826" s="63" t="s">
        <v>3598</v>
      </c>
      <c r="D826" s="64">
        <v>5.2631578947368425</v>
      </c>
      <c r="E826" s="65" t="s">
        <v>136</v>
      </c>
      <c r="F826" s="66">
        <v>31.50943396226415</v>
      </c>
      <c r="G826" s="63"/>
      <c r="H826" s="67"/>
      <c r="I826" s="68"/>
      <c r="J826" s="68"/>
      <c r="K826" s="31" t="s">
        <v>65</v>
      </c>
      <c r="L826" s="76">
        <v>826</v>
      </c>
      <c r="M826" s="76"/>
      <c r="N826" s="70"/>
      <c r="O826" s="78" t="s">
        <v>305</v>
      </c>
      <c r="P826" s="78" t="s">
        <v>547</v>
      </c>
      <c r="Q826" s="78" t="s">
        <v>1081</v>
      </c>
      <c r="R826" s="78" t="s">
        <v>1533</v>
      </c>
      <c r="S826" s="78"/>
      <c r="T826" s="78"/>
      <c r="U826" s="78"/>
      <c r="V826" s="78"/>
      <c r="W826" s="81" t="s">
        <v>1674</v>
      </c>
      <c r="X826" s="81" t="s">
        <v>1674</v>
      </c>
      <c r="Y826" s="78"/>
      <c r="Z826" s="78"/>
      <c r="AA826" s="81" t="s">
        <v>1674</v>
      </c>
      <c r="AB826" s="79">
        <v>2</v>
      </c>
      <c r="AC826" s="80" t="str">
        <f>REPLACE(INDEX(GroupVertices[Group],MATCH("~"&amp;Edges[[#This Row],[Vertex 1]],GroupVertices[Vertex],0)),1,1,"")</f>
        <v>1</v>
      </c>
      <c r="AD826" s="80" t="str">
        <f>REPLACE(INDEX(GroupVertices[Group],MATCH("~"&amp;Edges[[#This Row],[Vertex 2]],GroupVertices[Vertex],0)),1,1,"")</f>
        <v>2</v>
      </c>
      <c r="AE826" s="105"/>
      <c r="AF826" s="105"/>
      <c r="AG826" s="105"/>
      <c r="AH826" s="105"/>
      <c r="AI826" s="105"/>
      <c r="AJ826" s="105"/>
      <c r="AK826" s="105"/>
      <c r="AL826" s="105"/>
      <c r="AM826" s="105"/>
    </row>
    <row r="827" spans="1:39" ht="15">
      <c r="A827" s="62" t="s">
        <v>235</v>
      </c>
      <c r="B827" s="62" t="s">
        <v>294</v>
      </c>
      <c r="C827" s="63" t="s">
        <v>3598</v>
      </c>
      <c r="D827" s="64">
        <v>5.2631578947368425</v>
      </c>
      <c r="E827" s="65" t="s">
        <v>136</v>
      </c>
      <c r="F827" s="66">
        <v>31.50943396226415</v>
      </c>
      <c r="G827" s="63"/>
      <c r="H827" s="67"/>
      <c r="I827" s="68"/>
      <c r="J827" s="68"/>
      <c r="K827" s="31" t="s">
        <v>65</v>
      </c>
      <c r="L827" s="76">
        <v>827</v>
      </c>
      <c r="M827" s="76"/>
      <c r="N827" s="70"/>
      <c r="O827" s="78" t="s">
        <v>305</v>
      </c>
      <c r="P827" s="78" t="s">
        <v>533</v>
      </c>
      <c r="Q827" s="78" t="s">
        <v>1066</v>
      </c>
      <c r="R827" s="78" t="s">
        <v>1515</v>
      </c>
      <c r="S827" s="78"/>
      <c r="T827" s="78"/>
      <c r="U827" s="78"/>
      <c r="V827" s="78"/>
      <c r="W827" s="81" t="s">
        <v>1674</v>
      </c>
      <c r="X827" s="81" t="s">
        <v>1674</v>
      </c>
      <c r="Y827" s="78"/>
      <c r="Z827" s="78"/>
      <c r="AA827" s="81" t="s">
        <v>1674</v>
      </c>
      <c r="AB827" s="79">
        <v>2</v>
      </c>
      <c r="AC827" s="80" t="str">
        <f>REPLACE(INDEX(GroupVertices[Group],MATCH("~"&amp;Edges[[#This Row],[Vertex 1]],GroupVertices[Vertex],0)),1,1,"")</f>
        <v>1</v>
      </c>
      <c r="AD827" s="80" t="str">
        <f>REPLACE(INDEX(GroupVertices[Group],MATCH("~"&amp;Edges[[#This Row],[Vertex 2]],GroupVertices[Vertex],0)),1,1,"")</f>
        <v>2</v>
      </c>
      <c r="AE827" s="105"/>
      <c r="AF827" s="105"/>
      <c r="AG827" s="105"/>
      <c r="AH827" s="105"/>
      <c r="AI827" s="105"/>
      <c r="AJ827" s="105"/>
      <c r="AK827" s="105"/>
      <c r="AL827" s="105"/>
      <c r="AM827" s="105"/>
    </row>
    <row r="828" spans="1:39" ht="15">
      <c r="A828" s="62" t="s">
        <v>235</v>
      </c>
      <c r="B828" s="62" t="s">
        <v>249</v>
      </c>
      <c r="C828" s="63" t="s">
        <v>3598</v>
      </c>
      <c r="D828" s="64">
        <v>5</v>
      </c>
      <c r="E828" s="65" t="s">
        <v>132</v>
      </c>
      <c r="F828" s="66">
        <v>32</v>
      </c>
      <c r="G828" s="63"/>
      <c r="H828" s="67"/>
      <c r="I828" s="68"/>
      <c r="J828" s="68"/>
      <c r="K828" s="31" t="s">
        <v>65</v>
      </c>
      <c r="L828" s="76">
        <v>828</v>
      </c>
      <c r="M828" s="76"/>
      <c r="N828" s="70"/>
      <c r="O828" s="78" t="s">
        <v>305</v>
      </c>
      <c r="P828" s="78" t="s">
        <v>352</v>
      </c>
      <c r="Q828" s="78" t="s">
        <v>752</v>
      </c>
      <c r="R828" s="78" t="s">
        <v>707</v>
      </c>
      <c r="S828" s="78"/>
      <c r="T828" s="78"/>
      <c r="U828" s="78"/>
      <c r="V828" s="78"/>
      <c r="W828" s="81" t="s">
        <v>1674</v>
      </c>
      <c r="X828" s="81" t="s">
        <v>1674</v>
      </c>
      <c r="Y828" s="78"/>
      <c r="Z828" s="78"/>
      <c r="AA828" s="81" t="s">
        <v>1674</v>
      </c>
      <c r="AB828" s="79">
        <v>1</v>
      </c>
      <c r="AC828" s="80" t="str">
        <f>REPLACE(INDEX(GroupVertices[Group],MATCH("~"&amp;Edges[[#This Row],[Vertex 1]],GroupVertices[Vertex],0)),1,1,"")</f>
        <v>1</v>
      </c>
      <c r="AD828" s="80" t="str">
        <f>REPLACE(INDEX(GroupVertices[Group],MATCH("~"&amp;Edges[[#This Row],[Vertex 2]],GroupVertices[Vertex],0)),1,1,"")</f>
        <v>2</v>
      </c>
      <c r="AE828" s="105"/>
      <c r="AF828" s="105"/>
      <c r="AG828" s="105"/>
      <c r="AH828" s="105"/>
      <c r="AI828" s="105"/>
      <c r="AJ828" s="105"/>
      <c r="AK828" s="105"/>
      <c r="AL828" s="105"/>
      <c r="AM828" s="105"/>
    </row>
    <row r="829" spans="1:39" ht="15">
      <c r="A829" s="62" t="s">
        <v>235</v>
      </c>
      <c r="B829" s="62" t="s">
        <v>242</v>
      </c>
      <c r="C829" s="63" t="s">
        <v>3598</v>
      </c>
      <c r="D829" s="64">
        <v>5</v>
      </c>
      <c r="E829" s="65" t="s">
        <v>132</v>
      </c>
      <c r="F829" s="66">
        <v>32</v>
      </c>
      <c r="G829" s="63"/>
      <c r="H829" s="67"/>
      <c r="I829" s="68"/>
      <c r="J829" s="68"/>
      <c r="K829" s="31" t="s">
        <v>65</v>
      </c>
      <c r="L829" s="76">
        <v>829</v>
      </c>
      <c r="M829" s="76"/>
      <c r="N829" s="70"/>
      <c r="O829" s="78" t="s">
        <v>305</v>
      </c>
      <c r="P829" s="78" t="s">
        <v>548</v>
      </c>
      <c r="Q829" s="78" t="s">
        <v>1082</v>
      </c>
      <c r="R829" s="78" t="s">
        <v>1534</v>
      </c>
      <c r="S829" s="78"/>
      <c r="T829" s="78"/>
      <c r="U829" s="78"/>
      <c r="V829" s="78"/>
      <c r="W829" s="81" t="s">
        <v>1674</v>
      </c>
      <c r="X829" s="81" t="s">
        <v>1674</v>
      </c>
      <c r="Y829" s="78"/>
      <c r="Z829" s="78"/>
      <c r="AA829" s="81" t="s">
        <v>1674</v>
      </c>
      <c r="AB829" s="79">
        <v>1</v>
      </c>
      <c r="AC829" s="80" t="str">
        <f>REPLACE(INDEX(GroupVertices[Group],MATCH("~"&amp;Edges[[#This Row],[Vertex 1]],GroupVertices[Vertex],0)),1,1,"")</f>
        <v>1</v>
      </c>
      <c r="AD829" s="80" t="str">
        <f>REPLACE(INDEX(GroupVertices[Group],MATCH("~"&amp;Edges[[#This Row],[Vertex 2]],GroupVertices[Vertex],0)),1,1,"")</f>
        <v>5</v>
      </c>
      <c r="AE829" s="105"/>
      <c r="AF829" s="105"/>
      <c r="AG829" s="105"/>
      <c r="AH829" s="105"/>
      <c r="AI829" s="105"/>
      <c r="AJ829" s="105"/>
      <c r="AK829" s="105"/>
      <c r="AL829" s="105"/>
      <c r="AM829" s="105"/>
    </row>
    <row r="830" spans="1:39" ht="15">
      <c r="A830" s="62" t="s">
        <v>235</v>
      </c>
      <c r="B830" s="62" t="s">
        <v>243</v>
      </c>
      <c r="C830" s="63" t="s">
        <v>3598</v>
      </c>
      <c r="D830" s="64">
        <v>5</v>
      </c>
      <c r="E830" s="65" t="s">
        <v>132</v>
      </c>
      <c r="F830" s="66">
        <v>32</v>
      </c>
      <c r="G830" s="63"/>
      <c r="H830" s="67"/>
      <c r="I830" s="68"/>
      <c r="J830" s="68"/>
      <c r="K830" s="31" t="s">
        <v>65</v>
      </c>
      <c r="L830" s="76">
        <v>830</v>
      </c>
      <c r="M830" s="76"/>
      <c r="N830" s="70"/>
      <c r="O830" s="78" t="s">
        <v>305</v>
      </c>
      <c r="P830" s="78" t="s">
        <v>549</v>
      </c>
      <c r="Q830" s="78" t="s">
        <v>1083</v>
      </c>
      <c r="R830" s="78" t="s">
        <v>1535</v>
      </c>
      <c r="S830" s="78"/>
      <c r="T830" s="78"/>
      <c r="U830" s="78"/>
      <c r="V830" s="78"/>
      <c r="W830" s="81" t="s">
        <v>1674</v>
      </c>
      <c r="X830" s="81" t="s">
        <v>1674</v>
      </c>
      <c r="Y830" s="78"/>
      <c r="Z830" s="78"/>
      <c r="AA830" s="81" t="s">
        <v>1674</v>
      </c>
      <c r="AB830" s="79">
        <v>1</v>
      </c>
      <c r="AC830" s="80" t="str">
        <f>REPLACE(INDEX(GroupVertices[Group],MATCH("~"&amp;Edges[[#This Row],[Vertex 1]],GroupVertices[Vertex],0)),1,1,"")</f>
        <v>1</v>
      </c>
      <c r="AD830" s="80" t="str">
        <f>REPLACE(INDEX(GroupVertices[Group],MATCH("~"&amp;Edges[[#This Row],[Vertex 2]],GroupVertices[Vertex],0)),1,1,"")</f>
        <v>5</v>
      </c>
      <c r="AE830" s="105"/>
      <c r="AF830" s="105"/>
      <c r="AG830" s="105"/>
      <c r="AH830" s="105"/>
      <c r="AI830" s="105"/>
      <c r="AJ830" s="105"/>
      <c r="AK830" s="105"/>
      <c r="AL830" s="105"/>
      <c r="AM830" s="105"/>
    </row>
    <row r="831" spans="1:39" ht="15">
      <c r="A831" s="62" t="s">
        <v>235</v>
      </c>
      <c r="B831" s="62" t="s">
        <v>245</v>
      </c>
      <c r="C831" s="63" t="s">
        <v>3608</v>
      </c>
      <c r="D831" s="64">
        <v>6.842105263157895</v>
      </c>
      <c r="E831" s="65" t="s">
        <v>136</v>
      </c>
      <c r="F831" s="66">
        <v>28.566037735849058</v>
      </c>
      <c r="G831" s="63"/>
      <c r="H831" s="67"/>
      <c r="I831" s="68"/>
      <c r="J831" s="68"/>
      <c r="K831" s="31" t="s">
        <v>65</v>
      </c>
      <c r="L831" s="76">
        <v>831</v>
      </c>
      <c r="M831" s="76"/>
      <c r="N831" s="70"/>
      <c r="O831" s="78" t="s">
        <v>305</v>
      </c>
      <c r="P831" s="78" t="s">
        <v>550</v>
      </c>
      <c r="Q831" s="78" t="s">
        <v>1084</v>
      </c>
      <c r="R831" s="78" t="s">
        <v>1536</v>
      </c>
      <c r="S831" s="78"/>
      <c r="T831" s="78"/>
      <c r="U831" s="78"/>
      <c r="V831" s="78"/>
      <c r="W831" s="81" t="s">
        <v>1674</v>
      </c>
      <c r="X831" s="81" t="s">
        <v>1674</v>
      </c>
      <c r="Y831" s="78"/>
      <c r="Z831" s="78"/>
      <c r="AA831" s="81" t="s">
        <v>1674</v>
      </c>
      <c r="AB831" s="79">
        <v>8</v>
      </c>
      <c r="AC831" s="80" t="str">
        <f>REPLACE(INDEX(GroupVertices[Group],MATCH("~"&amp;Edges[[#This Row],[Vertex 1]],GroupVertices[Vertex],0)),1,1,"")</f>
        <v>1</v>
      </c>
      <c r="AD831" s="80" t="str">
        <f>REPLACE(INDEX(GroupVertices[Group],MATCH("~"&amp;Edges[[#This Row],[Vertex 2]],GroupVertices[Vertex],0)),1,1,"")</f>
        <v>1</v>
      </c>
      <c r="AE831" s="105"/>
      <c r="AF831" s="105"/>
      <c r="AG831" s="105"/>
      <c r="AH831" s="105"/>
      <c r="AI831" s="105"/>
      <c r="AJ831" s="105"/>
      <c r="AK831" s="105"/>
      <c r="AL831" s="105"/>
      <c r="AM831" s="105"/>
    </row>
    <row r="832" spans="1:39" ht="15">
      <c r="A832" s="62" t="s">
        <v>235</v>
      </c>
      <c r="B832" s="62" t="s">
        <v>245</v>
      </c>
      <c r="C832" s="63" t="s">
        <v>3608</v>
      </c>
      <c r="D832" s="64">
        <v>6.842105263157895</v>
      </c>
      <c r="E832" s="65" t="s">
        <v>136</v>
      </c>
      <c r="F832" s="66">
        <v>28.566037735849058</v>
      </c>
      <c r="G832" s="63"/>
      <c r="H832" s="67"/>
      <c r="I832" s="68"/>
      <c r="J832" s="68"/>
      <c r="K832" s="31" t="s">
        <v>65</v>
      </c>
      <c r="L832" s="76">
        <v>832</v>
      </c>
      <c r="M832" s="76"/>
      <c r="N832" s="70"/>
      <c r="O832" s="78" t="s">
        <v>305</v>
      </c>
      <c r="P832" s="78" t="s">
        <v>360</v>
      </c>
      <c r="Q832" s="78" t="s">
        <v>748</v>
      </c>
      <c r="R832" s="78" t="s">
        <v>722</v>
      </c>
      <c r="S832" s="78"/>
      <c r="T832" s="78"/>
      <c r="U832" s="78"/>
      <c r="V832" s="78"/>
      <c r="W832" s="81" t="s">
        <v>1674</v>
      </c>
      <c r="X832" s="81" t="s">
        <v>1674</v>
      </c>
      <c r="Y832" s="78"/>
      <c r="Z832" s="78"/>
      <c r="AA832" s="81" t="s">
        <v>1674</v>
      </c>
      <c r="AB832" s="79">
        <v>8</v>
      </c>
      <c r="AC832" s="80" t="str">
        <f>REPLACE(INDEX(GroupVertices[Group],MATCH("~"&amp;Edges[[#This Row],[Vertex 1]],GroupVertices[Vertex],0)),1,1,"")</f>
        <v>1</v>
      </c>
      <c r="AD832" s="80" t="str">
        <f>REPLACE(INDEX(GroupVertices[Group],MATCH("~"&amp;Edges[[#This Row],[Vertex 2]],GroupVertices[Vertex],0)),1,1,"")</f>
        <v>1</v>
      </c>
      <c r="AE832" s="105"/>
      <c r="AF832" s="105"/>
      <c r="AG832" s="105"/>
      <c r="AH832" s="105"/>
      <c r="AI832" s="105"/>
      <c r="AJ832" s="105"/>
      <c r="AK832" s="105"/>
      <c r="AL832" s="105"/>
      <c r="AM832" s="105"/>
    </row>
    <row r="833" spans="1:39" ht="15">
      <c r="A833" s="62" t="s">
        <v>235</v>
      </c>
      <c r="B833" s="62" t="s">
        <v>245</v>
      </c>
      <c r="C833" s="63" t="s">
        <v>3608</v>
      </c>
      <c r="D833" s="64">
        <v>6.842105263157895</v>
      </c>
      <c r="E833" s="65" t="s">
        <v>136</v>
      </c>
      <c r="F833" s="66">
        <v>28.566037735849058</v>
      </c>
      <c r="G833" s="63"/>
      <c r="H833" s="67"/>
      <c r="I833" s="68"/>
      <c r="J833" s="68"/>
      <c r="K833" s="31" t="s">
        <v>65</v>
      </c>
      <c r="L833" s="76">
        <v>833</v>
      </c>
      <c r="M833" s="76"/>
      <c r="N833" s="70"/>
      <c r="O833" s="78" t="s">
        <v>305</v>
      </c>
      <c r="P833" s="78" t="s">
        <v>360</v>
      </c>
      <c r="Q833" s="78" t="s">
        <v>749</v>
      </c>
      <c r="R833" s="78" t="s">
        <v>722</v>
      </c>
      <c r="S833" s="78"/>
      <c r="T833" s="78"/>
      <c r="U833" s="78"/>
      <c r="V833" s="78"/>
      <c r="W833" s="81" t="s">
        <v>1674</v>
      </c>
      <c r="X833" s="81" t="s">
        <v>1674</v>
      </c>
      <c r="Y833" s="78"/>
      <c r="Z833" s="78"/>
      <c r="AA833" s="81" t="s">
        <v>1674</v>
      </c>
      <c r="AB833" s="79">
        <v>8</v>
      </c>
      <c r="AC833" s="80" t="str">
        <f>REPLACE(INDEX(GroupVertices[Group],MATCH("~"&amp;Edges[[#This Row],[Vertex 1]],GroupVertices[Vertex],0)),1,1,"")</f>
        <v>1</v>
      </c>
      <c r="AD833" s="80" t="str">
        <f>REPLACE(INDEX(GroupVertices[Group],MATCH("~"&amp;Edges[[#This Row],[Vertex 2]],GroupVertices[Vertex],0)),1,1,"")</f>
        <v>1</v>
      </c>
      <c r="AE833" s="105"/>
      <c r="AF833" s="105"/>
      <c r="AG833" s="105"/>
      <c r="AH833" s="105"/>
      <c r="AI833" s="105"/>
      <c r="AJ833" s="105"/>
      <c r="AK833" s="105"/>
      <c r="AL833" s="105"/>
      <c r="AM833" s="105"/>
    </row>
    <row r="834" spans="1:39" ht="15">
      <c r="A834" s="62" t="s">
        <v>235</v>
      </c>
      <c r="B834" s="62" t="s">
        <v>245</v>
      </c>
      <c r="C834" s="63" t="s">
        <v>3608</v>
      </c>
      <c r="D834" s="64">
        <v>6.842105263157895</v>
      </c>
      <c r="E834" s="65" t="s">
        <v>136</v>
      </c>
      <c r="F834" s="66">
        <v>28.566037735849058</v>
      </c>
      <c r="G834" s="63"/>
      <c r="H834" s="67"/>
      <c r="I834" s="68"/>
      <c r="J834" s="68"/>
      <c r="K834" s="31" t="s">
        <v>65</v>
      </c>
      <c r="L834" s="76">
        <v>834</v>
      </c>
      <c r="M834" s="76"/>
      <c r="N834" s="70"/>
      <c r="O834" s="78" t="s">
        <v>305</v>
      </c>
      <c r="P834" s="78" t="s">
        <v>360</v>
      </c>
      <c r="Q834" s="78" t="s">
        <v>750</v>
      </c>
      <c r="R834" s="78" t="s">
        <v>722</v>
      </c>
      <c r="S834" s="78"/>
      <c r="T834" s="78"/>
      <c r="U834" s="78"/>
      <c r="V834" s="78"/>
      <c r="W834" s="81" t="s">
        <v>1674</v>
      </c>
      <c r="X834" s="81" t="s">
        <v>1674</v>
      </c>
      <c r="Y834" s="78"/>
      <c r="Z834" s="78"/>
      <c r="AA834" s="81" t="s">
        <v>1674</v>
      </c>
      <c r="AB834" s="79">
        <v>8</v>
      </c>
      <c r="AC834" s="80" t="str">
        <f>REPLACE(INDEX(GroupVertices[Group],MATCH("~"&amp;Edges[[#This Row],[Vertex 1]],GroupVertices[Vertex],0)),1,1,"")</f>
        <v>1</v>
      </c>
      <c r="AD834" s="80" t="str">
        <f>REPLACE(INDEX(GroupVertices[Group],MATCH("~"&amp;Edges[[#This Row],[Vertex 2]],GroupVertices[Vertex],0)),1,1,"")</f>
        <v>1</v>
      </c>
      <c r="AE834" s="105"/>
      <c r="AF834" s="105"/>
      <c r="AG834" s="105"/>
      <c r="AH834" s="105"/>
      <c r="AI834" s="105"/>
      <c r="AJ834" s="105"/>
      <c r="AK834" s="105"/>
      <c r="AL834" s="105"/>
      <c r="AM834" s="105"/>
    </row>
    <row r="835" spans="1:39" ht="15">
      <c r="A835" s="62" t="s">
        <v>235</v>
      </c>
      <c r="B835" s="62" t="s">
        <v>245</v>
      </c>
      <c r="C835" s="63" t="s">
        <v>3608</v>
      </c>
      <c r="D835" s="64">
        <v>6.842105263157895</v>
      </c>
      <c r="E835" s="65" t="s">
        <v>136</v>
      </c>
      <c r="F835" s="66">
        <v>28.566037735849058</v>
      </c>
      <c r="G835" s="63"/>
      <c r="H835" s="67"/>
      <c r="I835" s="68"/>
      <c r="J835" s="68"/>
      <c r="K835" s="31" t="s">
        <v>65</v>
      </c>
      <c r="L835" s="76">
        <v>835</v>
      </c>
      <c r="M835" s="76"/>
      <c r="N835" s="70"/>
      <c r="O835" s="78" t="s">
        <v>305</v>
      </c>
      <c r="P835" s="78" t="s">
        <v>551</v>
      </c>
      <c r="Q835" s="78" t="s">
        <v>1085</v>
      </c>
      <c r="R835" s="78" t="s">
        <v>1537</v>
      </c>
      <c r="S835" s="78"/>
      <c r="T835" s="78"/>
      <c r="U835" s="78"/>
      <c r="V835" s="78"/>
      <c r="W835" s="81" t="s">
        <v>1674</v>
      </c>
      <c r="X835" s="81" t="s">
        <v>1674</v>
      </c>
      <c r="Y835" s="78"/>
      <c r="Z835" s="78"/>
      <c r="AA835" s="81" t="s">
        <v>1674</v>
      </c>
      <c r="AB835" s="79">
        <v>8</v>
      </c>
      <c r="AC835" s="80" t="str">
        <f>REPLACE(INDEX(GroupVertices[Group],MATCH("~"&amp;Edges[[#This Row],[Vertex 1]],GroupVertices[Vertex],0)),1,1,"")</f>
        <v>1</v>
      </c>
      <c r="AD835" s="80" t="str">
        <f>REPLACE(INDEX(GroupVertices[Group],MATCH("~"&amp;Edges[[#This Row],[Vertex 2]],GroupVertices[Vertex],0)),1,1,"")</f>
        <v>1</v>
      </c>
      <c r="AE835" s="105"/>
      <c r="AF835" s="105"/>
      <c r="AG835" s="105"/>
      <c r="AH835" s="105"/>
      <c r="AI835" s="105"/>
      <c r="AJ835" s="105"/>
      <c r="AK835" s="105"/>
      <c r="AL835" s="105"/>
      <c r="AM835" s="105"/>
    </row>
    <row r="836" spans="1:39" ht="15">
      <c r="A836" s="62" t="s">
        <v>235</v>
      </c>
      <c r="B836" s="62" t="s">
        <v>245</v>
      </c>
      <c r="C836" s="63" t="s">
        <v>3608</v>
      </c>
      <c r="D836" s="64">
        <v>6.842105263157895</v>
      </c>
      <c r="E836" s="65" t="s">
        <v>136</v>
      </c>
      <c r="F836" s="66">
        <v>28.566037735849058</v>
      </c>
      <c r="G836" s="63"/>
      <c r="H836" s="67"/>
      <c r="I836" s="68"/>
      <c r="J836" s="68"/>
      <c r="K836" s="31" t="s">
        <v>65</v>
      </c>
      <c r="L836" s="76">
        <v>836</v>
      </c>
      <c r="M836" s="76"/>
      <c r="N836" s="70"/>
      <c r="O836" s="78" t="s">
        <v>305</v>
      </c>
      <c r="P836" s="78" t="s">
        <v>549</v>
      </c>
      <c r="Q836" s="78" t="s">
        <v>1083</v>
      </c>
      <c r="R836" s="78" t="s">
        <v>1144</v>
      </c>
      <c r="S836" s="78"/>
      <c r="T836" s="78"/>
      <c r="U836" s="78"/>
      <c r="V836" s="78"/>
      <c r="W836" s="81" t="s">
        <v>1674</v>
      </c>
      <c r="X836" s="81" t="s">
        <v>1674</v>
      </c>
      <c r="Y836" s="78"/>
      <c r="Z836" s="78"/>
      <c r="AA836" s="81" t="s">
        <v>1674</v>
      </c>
      <c r="AB836" s="79">
        <v>8</v>
      </c>
      <c r="AC836" s="80" t="str">
        <f>REPLACE(INDEX(GroupVertices[Group],MATCH("~"&amp;Edges[[#This Row],[Vertex 1]],GroupVertices[Vertex],0)),1,1,"")</f>
        <v>1</v>
      </c>
      <c r="AD836" s="80" t="str">
        <f>REPLACE(INDEX(GroupVertices[Group],MATCH("~"&amp;Edges[[#This Row],[Vertex 2]],GroupVertices[Vertex],0)),1,1,"")</f>
        <v>1</v>
      </c>
      <c r="AE836" s="105"/>
      <c r="AF836" s="105"/>
      <c r="AG836" s="105"/>
      <c r="AH836" s="105"/>
      <c r="AI836" s="105"/>
      <c r="AJ836" s="105"/>
      <c r="AK836" s="105"/>
      <c r="AL836" s="105"/>
      <c r="AM836" s="105"/>
    </row>
    <row r="837" spans="1:39" ht="15">
      <c r="A837" s="62" t="s">
        <v>235</v>
      </c>
      <c r="B837" s="62" t="s">
        <v>245</v>
      </c>
      <c r="C837" s="63" t="s">
        <v>3608</v>
      </c>
      <c r="D837" s="64">
        <v>6.842105263157895</v>
      </c>
      <c r="E837" s="65" t="s">
        <v>136</v>
      </c>
      <c r="F837" s="66">
        <v>28.566037735849058</v>
      </c>
      <c r="G837" s="63"/>
      <c r="H837" s="67"/>
      <c r="I837" s="68"/>
      <c r="J837" s="68"/>
      <c r="K837" s="31" t="s">
        <v>65</v>
      </c>
      <c r="L837" s="76">
        <v>837</v>
      </c>
      <c r="M837" s="76"/>
      <c r="N837" s="70"/>
      <c r="O837" s="78" t="s">
        <v>305</v>
      </c>
      <c r="P837" s="78" t="s">
        <v>549</v>
      </c>
      <c r="Q837" s="78" t="s">
        <v>1083</v>
      </c>
      <c r="R837" s="78" t="s">
        <v>1145</v>
      </c>
      <c r="S837" s="78"/>
      <c r="T837" s="78"/>
      <c r="U837" s="78"/>
      <c r="V837" s="78"/>
      <c r="W837" s="81" t="s">
        <v>1674</v>
      </c>
      <c r="X837" s="81" t="s">
        <v>1674</v>
      </c>
      <c r="Y837" s="78"/>
      <c r="Z837" s="78"/>
      <c r="AA837" s="81" t="s">
        <v>1674</v>
      </c>
      <c r="AB837" s="79">
        <v>8</v>
      </c>
      <c r="AC837" s="80" t="str">
        <f>REPLACE(INDEX(GroupVertices[Group],MATCH("~"&amp;Edges[[#This Row],[Vertex 1]],GroupVertices[Vertex],0)),1,1,"")</f>
        <v>1</v>
      </c>
      <c r="AD837" s="80" t="str">
        <f>REPLACE(INDEX(GroupVertices[Group],MATCH("~"&amp;Edges[[#This Row],[Vertex 2]],GroupVertices[Vertex],0)),1,1,"")</f>
        <v>1</v>
      </c>
      <c r="AE837" s="105"/>
      <c r="AF837" s="105"/>
      <c r="AG837" s="105"/>
      <c r="AH837" s="105"/>
      <c r="AI837" s="105"/>
      <c r="AJ837" s="105"/>
      <c r="AK837" s="105"/>
      <c r="AL837" s="105"/>
      <c r="AM837" s="105"/>
    </row>
    <row r="838" spans="1:39" ht="15">
      <c r="A838" s="62" t="s">
        <v>235</v>
      </c>
      <c r="B838" s="62" t="s">
        <v>245</v>
      </c>
      <c r="C838" s="63" t="s">
        <v>3608</v>
      </c>
      <c r="D838" s="64">
        <v>6.842105263157895</v>
      </c>
      <c r="E838" s="65" t="s">
        <v>136</v>
      </c>
      <c r="F838" s="66">
        <v>28.566037735849058</v>
      </c>
      <c r="G838" s="63"/>
      <c r="H838" s="67"/>
      <c r="I838" s="68"/>
      <c r="J838" s="68"/>
      <c r="K838" s="31" t="s">
        <v>65</v>
      </c>
      <c r="L838" s="76">
        <v>838</v>
      </c>
      <c r="M838" s="76"/>
      <c r="N838" s="70"/>
      <c r="O838" s="78" t="s">
        <v>305</v>
      </c>
      <c r="P838" s="78" t="s">
        <v>352</v>
      </c>
      <c r="Q838" s="78" t="s">
        <v>752</v>
      </c>
      <c r="R838" s="78" t="s">
        <v>724</v>
      </c>
      <c r="S838" s="78"/>
      <c r="T838" s="78"/>
      <c r="U838" s="78"/>
      <c r="V838" s="78"/>
      <c r="W838" s="81" t="s">
        <v>1674</v>
      </c>
      <c r="X838" s="81" t="s">
        <v>1674</v>
      </c>
      <c r="Y838" s="78"/>
      <c r="Z838" s="78"/>
      <c r="AA838" s="81" t="s">
        <v>1674</v>
      </c>
      <c r="AB838" s="79">
        <v>8</v>
      </c>
      <c r="AC838" s="80" t="str">
        <f>REPLACE(INDEX(GroupVertices[Group],MATCH("~"&amp;Edges[[#This Row],[Vertex 1]],GroupVertices[Vertex],0)),1,1,"")</f>
        <v>1</v>
      </c>
      <c r="AD838" s="80" t="str">
        <f>REPLACE(INDEX(GroupVertices[Group],MATCH("~"&amp;Edges[[#This Row],[Vertex 2]],GroupVertices[Vertex],0)),1,1,"")</f>
        <v>1</v>
      </c>
      <c r="AE838" s="105"/>
      <c r="AF838" s="105"/>
      <c r="AG838" s="105"/>
      <c r="AH838" s="105"/>
      <c r="AI838" s="105"/>
      <c r="AJ838" s="105"/>
      <c r="AK838" s="105"/>
      <c r="AL838" s="105"/>
      <c r="AM838" s="105"/>
    </row>
    <row r="839" spans="1:39" ht="15">
      <c r="A839" s="62" t="s">
        <v>235</v>
      </c>
      <c r="B839" s="62" t="s">
        <v>256</v>
      </c>
      <c r="C839" s="63" t="s">
        <v>3599</v>
      </c>
      <c r="D839" s="64">
        <v>6.315789473684211</v>
      </c>
      <c r="E839" s="65" t="s">
        <v>136</v>
      </c>
      <c r="F839" s="66">
        <v>29.547169811320757</v>
      </c>
      <c r="G839" s="63"/>
      <c r="H839" s="67"/>
      <c r="I839" s="68"/>
      <c r="J839" s="68"/>
      <c r="K839" s="31" t="s">
        <v>65</v>
      </c>
      <c r="L839" s="76">
        <v>839</v>
      </c>
      <c r="M839" s="76"/>
      <c r="N839" s="70"/>
      <c r="O839" s="78" t="s">
        <v>305</v>
      </c>
      <c r="P839" s="78" t="s">
        <v>444</v>
      </c>
      <c r="Q839" s="78" t="s">
        <v>892</v>
      </c>
      <c r="R839" s="78" t="s">
        <v>1418</v>
      </c>
      <c r="S839" s="78"/>
      <c r="T839" s="78"/>
      <c r="U839" s="78"/>
      <c r="V839" s="78"/>
      <c r="W839" s="81" t="s">
        <v>1674</v>
      </c>
      <c r="X839" s="81" t="s">
        <v>1674</v>
      </c>
      <c r="Y839" s="78"/>
      <c r="Z839" s="78"/>
      <c r="AA839" s="81" t="s">
        <v>1674</v>
      </c>
      <c r="AB839" s="79">
        <v>6</v>
      </c>
      <c r="AC839" s="80" t="str">
        <f>REPLACE(INDEX(GroupVertices[Group],MATCH("~"&amp;Edges[[#This Row],[Vertex 1]],GroupVertices[Vertex],0)),1,1,"")</f>
        <v>1</v>
      </c>
      <c r="AD839" s="80" t="str">
        <f>REPLACE(INDEX(GroupVertices[Group],MATCH("~"&amp;Edges[[#This Row],[Vertex 2]],GroupVertices[Vertex],0)),1,1,"")</f>
        <v>1</v>
      </c>
      <c r="AE839" s="105"/>
      <c r="AF839" s="105"/>
      <c r="AG839" s="105"/>
      <c r="AH839" s="105"/>
      <c r="AI839" s="105"/>
      <c r="AJ839" s="105"/>
      <c r="AK839" s="105"/>
      <c r="AL839" s="105"/>
      <c r="AM839" s="105"/>
    </row>
    <row r="840" spans="1:39" ht="15">
      <c r="A840" s="62" t="s">
        <v>235</v>
      </c>
      <c r="B840" s="62" t="s">
        <v>256</v>
      </c>
      <c r="C840" s="63" t="s">
        <v>3599</v>
      </c>
      <c r="D840" s="64">
        <v>6.315789473684211</v>
      </c>
      <c r="E840" s="65" t="s">
        <v>136</v>
      </c>
      <c r="F840" s="66">
        <v>29.547169811320757</v>
      </c>
      <c r="G840" s="63"/>
      <c r="H840" s="67"/>
      <c r="I840" s="68"/>
      <c r="J840" s="68"/>
      <c r="K840" s="31" t="s">
        <v>65</v>
      </c>
      <c r="L840" s="76">
        <v>840</v>
      </c>
      <c r="M840" s="76"/>
      <c r="N840" s="70"/>
      <c r="O840" s="78" t="s">
        <v>305</v>
      </c>
      <c r="P840" s="78" t="s">
        <v>453</v>
      </c>
      <c r="Q840" s="78" t="s">
        <v>908</v>
      </c>
      <c r="R840" s="78" t="s">
        <v>980</v>
      </c>
      <c r="S840" s="78"/>
      <c r="T840" s="78"/>
      <c r="U840" s="78"/>
      <c r="V840" s="78"/>
      <c r="W840" s="81" t="s">
        <v>1674</v>
      </c>
      <c r="X840" s="81" t="s">
        <v>1674</v>
      </c>
      <c r="Y840" s="78"/>
      <c r="Z840" s="78"/>
      <c r="AA840" s="81" t="s">
        <v>1674</v>
      </c>
      <c r="AB840" s="79">
        <v>6</v>
      </c>
      <c r="AC840" s="80" t="str">
        <f>REPLACE(INDEX(GroupVertices[Group],MATCH("~"&amp;Edges[[#This Row],[Vertex 1]],GroupVertices[Vertex],0)),1,1,"")</f>
        <v>1</v>
      </c>
      <c r="AD840" s="80" t="str">
        <f>REPLACE(INDEX(GroupVertices[Group],MATCH("~"&amp;Edges[[#This Row],[Vertex 2]],GroupVertices[Vertex],0)),1,1,"")</f>
        <v>1</v>
      </c>
      <c r="AE840" s="105"/>
      <c r="AF840" s="105"/>
      <c r="AG840" s="105"/>
      <c r="AH840" s="105"/>
      <c r="AI840" s="105"/>
      <c r="AJ840" s="105"/>
      <c r="AK840" s="105"/>
      <c r="AL840" s="105"/>
      <c r="AM840" s="105"/>
    </row>
    <row r="841" spans="1:39" ht="15">
      <c r="A841" s="62" t="s">
        <v>235</v>
      </c>
      <c r="B841" s="62" t="s">
        <v>256</v>
      </c>
      <c r="C841" s="63" t="s">
        <v>3599</v>
      </c>
      <c r="D841" s="64">
        <v>6.315789473684211</v>
      </c>
      <c r="E841" s="65" t="s">
        <v>136</v>
      </c>
      <c r="F841" s="66">
        <v>29.547169811320757</v>
      </c>
      <c r="G841" s="63"/>
      <c r="H841" s="67"/>
      <c r="I841" s="68"/>
      <c r="J841" s="68"/>
      <c r="K841" s="31" t="s">
        <v>65</v>
      </c>
      <c r="L841" s="76">
        <v>841</v>
      </c>
      <c r="M841" s="76"/>
      <c r="N841" s="70"/>
      <c r="O841" s="78" t="s">
        <v>305</v>
      </c>
      <c r="P841" s="78" t="s">
        <v>552</v>
      </c>
      <c r="Q841" s="78" t="s">
        <v>1086</v>
      </c>
      <c r="R841" s="78" t="s">
        <v>1538</v>
      </c>
      <c r="S841" s="78"/>
      <c r="T841" s="78"/>
      <c r="U841" s="78"/>
      <c r="V841" s="78"/>
      <c r="W841" s="81" t="s">
        <v>1674</v>
      </c>
      <c r="X841" s="81" t="s">
        <v>1674</v>
      </c>
      <c r="Y841" s="78"/>
      <c r="Z841" s="78"/>
      <c r="AA841" s="81" t="s">
        <v>1674</v>
      </c>
      <c r="AB841" s="79">
        <v>6</v>
      </c>
      <c r="AC841" s="80" t="str">
        <f>REPLACE(INDEX(GroupVertices[Group],MATCH("~"&amp;Edges[[#This Row],[Vertex 1]],GroupVertices[Vertex],0)),1,1,"")</f>
        <v>1</v>
      </c>
      <c r="AD841" s="80" t="str">
        <f>REPLACE(INDEX(GroupVertices[Group],MATCH("~"&amp;Edges[[#This Row],[Vertex 2]],GroupVertices[Vertex],0)),1,1,"")</f>
        <v>1</v>
      </c>
      <c r="AE841" s="105"/>
      <c r="AF841" s="105"/>
      <c r="AG841" s="105"/>
      <c r="AH841" s="105"/>
      <c r="AI841" s="105"/>
      <c r="AJ841" s="105"/>
      <c r="AK841" s="105"/>
      <c r="AL841" s="105"/>
      <c r="AM841" s="105"/>
    </row>
    <row r="842" spans="1:39" ht="15">
      <c r="A842" s="62" t="s">
        <v>235</v>
      </c>
      <c r="B842" s="62" t="s">
        <v>256</v>
      </c>
      <c r="C842" s="63" t="s">
        <v>3599</v>
      </c>
      <c r="D842" s="64">
        <v>6.315789473684211</v>
      </c>
      <c r="E842" s="65" t="s">
        <v>136</v>
      </c>
      <c r="F842" s="66">
        <v>29.547169811320757</v>
      </c>
      <c r="G842" s="63"/>
      <c r="H842" s="67"/>
      <c r="I842" s="68"/>
      <c r="J842" s="68"/>
      <c r="K842" s="31" t="s">
        <v>65</v>
      </c>
      <c r="L842" s="76">
        <v>842</v>
      </c>
      <c r="M842" s="76"/>
      <c r="N842" s="70"/>
      <c r="O842" s="78" t="s">
        <v>305</v>
      </c>
      <c r="P842" s="78" t="s">
        <v>553</v>
      </c>
      <c r="Q842" s="78" t="s">
        <v>1087</v>
      </c>
      <c r="R842" s="78" t="s">
        <v>1539</v>
      </c>
      <c r="S842" s="78" t="s">
        <v>1655</v>
      </c>
      <c r="T842" s="78"/>
      <c r="U842" s="78" t="s">
        <v>1670</v>
      </c>
      <c r="V842" s="78"/>
      <c r="W842" s="81" t="s">
        <v>1674</v>
      </c>
      <c r="X842" s="81" t="s">
        <v>1674</v>
      </c>
      <c r="Y842" s="78" t="s">
        <v>1696</v>
      </c>
      <c r="Z842" s="78" t="s">
        <v>1709</v>
      </c>
      <c r="AA842" s="81" t="s">
        <v>1674</v>
      </c>
      <c r="AB842" s="79">
        <v>6</v>
      </c>
      <c r="AC842" s="80" t="str">
        <f>REPLACE(INDEX(GroupVertices[Group],MATCH("~"&amp;Edges[[#This Row],[Vertex 1]],GroupVertices[Vertex],0)),1,1,"")</f>
        <v>1</v>
      </c>
      <c r="AD842" s="80" t="str">
        <f>REPLACE(INDEX(GroupVertices[Group],MATCH("~"&amp;Edges[[#This Row],[Vertex 2]],GroupVertices[Vertex],0)),1,1,"")</f>
        <v>1</v>
      </c>
      <c r="AE842" s="105"/>
      <c r="AF842" s="105"/>
      <c r="AG842" s="105"/>
      <c r="AH842" s="105"/>
      <c r="AI842" s="105"/>
      <c r="AJ842" s="105"/>
      <c r="AK842" s="105"/>
      <c r="AL842" s="105"/>
      <c r="AM842" s="105"/>
    </row>
    <row r="843" spans="1:39" ht="15">
      <c r="A843" s="62" t="s">
        <v>235</v>
      </c>
      <c r="B843" s="62" t="s">
        <v>256</v>
      </c>
      <c r="C843" s="63" t="s">
        <v>3599</v>
      </c>
      <c r="D843" s="64">
        <v>6.315789473684211</v>
      </c>
      <c r="E843" s="65" t="s">
        <v>136</v>
      </c>
      <c r="F843" s="66">
        <v>29.547169811320757</v>
      </c>
      <c r="G843" s="63"/>
      <c r="H843" s="67"/>
      <c r="I843" s="68"/>
      <c r="J843" s="68"/>
      <c r="K843" s="31" t="s">
        <v>65</v>
      </c>
      <c r="L843" s="76">
        <v>843</v>
      </c>
      <c r="M843" s="76"/>
      <c r="N843" s="70"/>
      <c r="O843" s="78" t="s">
        <v>305</v>
      </c>
      <c r="P843" s="78" t="s">
        <v>501</v>
      </c>
      <c r="Q843" s="78" t="s">
        <v>995</v>
      </c>
      <c r="R843" s="78" t="s">
        <v>995</v>
      </c>
      <c r="S843" s="78"/>
      <c r="T843" s="78"/>
      <c r="U843" s="78"/>
      <c r="V843" s="78"/>
      <c r="W843" s="81" t="s">
        <v>1674</v>
      </c>
      <c r="X843" s="81" t="s">
        <v>1674</v>
      </c>
      <c r="Y843" s="78"/>
      <c r="Z843" s="78"/>
      <c r="AA843" s="81" t="s">
        <v>1674</v>
      </c>
      <c r="AB843" s="79">
        <v>6</v>
      </c>
      <c r="AC843" s="80" t="str">
        <f>REPLACE(INDEX(GroupVertices[Group],MATCH("~"&amp;Edges[[#This Row],[Vertex 1]],GroupVertices[Vertex],0)),1,1,"")</f>
        <v>1</v>
      </c>
      <c r="AD843" s="80" t="str">
        <f>REPLACE(INDEX(GroupVertices[Group],MATCH("~"&amp;Edges[[#This Row],[Vertex 2]],GroupVertices[Vertex],0)),1,1,"")</f>
        <v>1</v>
      </c>
      <c r="AE843" s="105"/>
      <c r="AF843" s="105"/>
      <c r="AG843" s="105"/>
      <c r="AH843" s="105"/>
      <c r="AI843" s="105"/>
      <c r="AJ843" s="105"/>
      <c r="AK843" s="105"/>
      <c r="AL843" s="105"/>
      <c r="AM843" s="105"/>
    </row>
    <row r="844" spans="1:39" ht="15">
      <c r="A844" s="62" t="s">
        <v>235</v>
      </c>
      <c r="B844" s="62" t="s">
        <v>256</v>
      </c>
      <c r="C844" s="63" t="s">
        <v>3599</v>
      </c>
      <c r="D844" s="64">
        <v>6.315789473684211</v>
      </c>
      <c r="E844" s="65" t="s">
        <v>136</v>
      </c>
      <c r="F844" s="66">
        <v>29.547169811320757</v>
      </c>
      <c r="G844" s="63"/>
      <c r="H844" s="67"/>
      <c r="I844" s="68"/>
      <c r="J844" s="68"/>
      <c r="K844" s="31" t="s">
        <v>65</v>
      </c>
      <c r="L844" s="76">
        <v>844</v>
      </c>
      <c r="M844" s="76"/>
      <c r="N844" s="70"/>
      <c r="O844" s="78" t="s">
        <v>305</v>
      </c>
      <c r="P844" s="78" t="s">
        <v>554</v>
      </c>
      <c r="Q844" s="78" t="s">
        <v>1088</v>
      </c>
      <c r="R844" s="78" t="s">
        <v>1540</v>
      </c>
      <c r="S844" s="78"/>
      <c r="T844" s="78"/>
      <c r="U844" s="78"/>
      <c r="V844" s="78"/>
      <c r="W844" s="81" t="s">
        <v>1674</v>
      </c>
      <c r="X844" s="81" t="s">
        <v>1674</v>
      </c>
      <c r="Y844" s="78"/>
      <c r="Z844" s="78"/>
      <c r="AA844" s="81" t="s">
        <v>1674</v>
      </c>
      <c r="AB844" s="79">
        <v>6</v>
      </c>
      <c r="AC844" s="80" t="str">
        <f>REPLACE(INDEX(GroupVertices[Group],MATCH("~"&amp;Edges[[#This Row],[Vertex 1]],GroupVertices[Vertex],0)),1,1,"")</f>
        <v>1</v>
      </c>
      <c r="AD844" s="80" t="str">
        <f>REPLACE(INDEX(GroupVertices[Group],MATCH("~"&amp;Edges[[#This Row],[Vertex 2]],GroupVertices[Vertex],0)),1,1,"")</f>
        <v>1</v>
      </c>
      <c r="AE844" s="105"/>
      <c r="AF844" s="105"/>
      <c r="AG844" s="105"/>
      <c r="AH844" s="105"/>
      <c r="AI844" s="105"/>
      <c r="AJ844" s="105"/>
      <c r="AK844" s="105"/>
      <c r="AL844" s="105"/>
      <c r="AM844" s="105"/>
    </row>
    <row r="845" spans="1:39" ht="15">
      <c r="A845" s="62" t="s">
        <v>235</v>
      </c>
      <c r="B845" s="62" t="s">
        <v>246</v>
      </c>
      <c r="C845" s="63" t="s">
        <v>3598</v>
      </c>
      <c r="D845" s="64">
        <v>5</v>
      </c>
      <c r="E845" s="65" t="s">
        <v>132</v>
      </c>
      <c r="F845" s="66">
        <v>32</v>
      </c>
      <c r="G845" s="63"/>
      <c r="H845" s="67"/>
      <c r="I845" s="68"/>
      <c r="J845" s="68"/>
      <c r="K845" s="31" t="s">
        <v>65</v>
      </c>
      <c r="L845" s="76">
        <v>845</v>
      </c>
      <c r="M845" s="76"/>
      <c r="N845" s="70"/>
      <c r="O845" s="78" t="s">
        <v>305</v>
      </c>
      <c r="P845" s="78" t="s">
        <v>555</v>
      </c>
      <c r="Q845" s="78" t="s">
        <v>1089</v>
      </c>
      <c r="R845" s="78" t="s">
        <v>1541</v>
      </c>
      <c r="S845" s="78"/>
      <c r="T845" s="78"/>
      <c r="U845" s="78"/>
      <c r="V845" s="78"/>
      <c r="W845" s="81" t="s">
        <v>1674</v>
      </c>
      <c r="X845" s="81" t="s">
        <v>1674</v>
      </c>
      <c r="Y845" s="78"/>
      <c r="Z845" s="78"/>
      <c r="AA845" s="81" t="s">
        <v>1674</v>
      </c>
      <c r="AB845" s="79">
        <v>1</v>
      </c>
      <c r="AC845" s="80" t="str">
        <f>REPLACE(INDEX(GroupVertices[Group],MATCH("~"&amp;Edges[[#This Row],[Vertex 1]],GroupVertices[Vertex],0)),1,1,"")</f>
        <v>1</v>
      </c>
      <c r="AD845" s="80" t="str">
        <f>REPLACE(INDEX(GroupVertices[Group],MATCH("~"&amp;Edges[[#This Row],[Vertex 2]],GroupVertices[Vertex],0)),1,1,"")</f>
        <v>3</v>
      </c>
      <c r="AE845" s="105"/>
      <c r="AF845" s="105"/>
      <c r="AG845" s="105"/>
      <c r="AH845" s="105"/>
      <c r="AI845" s="105"/>
      <c r="AJ845" s="105"/>
      <c r="AK845" s="105"/>
      <c r="AL845" s="105"/>
      <c r="AM845" s="105"/>
    </row>
    <row r="846" spans="1:39" ht="15">
      <c r="A846" s="62" t="s">
        <v>235</v>
      </c>
      <c r="B846" s="62" t="s">
        <v>258</v>
      </c>
      <c r="C846" s="63" t="s">
        <v>3602</v>
      </c>
      <c r="D846" s="64">
        <v>5.526315789473684</v>
      </c>
      <c r="E846" s="65" t="s">
        <v>136</v>
      </c>
      <c r="F846" s="66">
        <v>31.0188679245283</v>
      </c>
      <c r="G846" s="63"/>
      <c r="H846" s="67"/>
      <c r="I846" s="68"/>
      <c r="J846" s="68"/>
      <c r="K846" s="31" t="s">
        <v>65</v>
      </c>
      <c r="L846" s="76">
        <v>846</v>
      </c>
      <c r="M846" s="76"/>
      <c r="N846" s="70"/>
      <c r="O846" s="78" t="s">
        <v>305</v>
      </c>
      <c r="P846" s="78" t="s">
        <v>353</v>
      </c>
      <c r="Q846" s="78" t="s">
        <v>751</v>
      </c>
      <c r="R846" s="78" t="s">
        <v>736</v>
      </c>
      <c r="S846" s="78" t="s">
        <v>1646</v>
      </c>
      <c r="T846" s="78" t="s">
        <v>1645</v>
      </c>
      <c r="U846" s="78" t="s">
        <v>1670</v>
      </c>
      <c r="V846" s="78" t="s">
        <v>1670</v>
      </c>
      <c r="W846" s="81" t="s">
        <v>1674</v>
      </c>
      <c r="X846" s="81" t="s">
        <v>1674</v>
      </c>
      <c r="Y846" s="78" t="s">
        <v>1697</v>
      </c>
      <c r="Z846" s="78" t="s">
        <v>1669</v>
      </c>
      <c r="AA846" s="81" t="s">
        <v>1674</v>
      </c>
      <c r="AB846" s="79">
        <v>3</v>
      </c>
      <c r="AC846" s="80" t="str">
        <f>REPLACE(INDEX(GroupVertices[Group],MATCH("~"&amp;Edges[[#This Row],[Vertex 1]],GroupVertices[Vertex],0)),1,1,"")</f>
        <v>1</v>
      </c>
      <c r="AD846" s="80" t="str">
        <f>REPLACE(INDEX(GroupVertices[Group],MATCH("~"&amp;Edges[[#This Row],[Vertex 2]],GroupVertices[Vertex],0)),1,1,"")</f>
        <v>1</v>
      </c>
      <c r="AE846" s="105"/>
      <c r="AF846" s="105"/>
      <c r="AG846" s="105"/>
      <c r="AH846" s="105"/>
      <c r="AI846" s="105"/>
      <c r="AJ846" s="105"/>
      <c r="AK846" s="105"/>
      <c r="AL846" s="105"/>
      <c r="AM846" s="105"/>
    </row>
    <row r="847" spans="1:39" ht="15">
      <c r="A847" s="62" t="s">
        <v>235</v>
      </c>
      <c r="B847" s="62" t="s">
        <v>258</v>
      </c>
      <c r="C847" s="63" t="s">
        <v>3602</v>
      </c>
      <c r="D847" s="64">
        <v>5.526315789473684</v>
      </c>
      <c r="E847" s="65" t="s">
        <v>136</v>
      </c>
      <c r="F847" s="66">
        <v>31.0188679245283</v>
      </c>
      <c r="G847" s="63"/>
      <c r="H847" s="67"/>
      <c r="I847" s="68"/>
      <c r="J847" s="68"/>
      <c r="K847" s="31" t="s">
        <v>65</v>
      </c>
      <c r="L847" s="76">
        <v>847</v>
      </c>
      <c r="M847" s="76"/>
      <c r="N847" s="70"/>
      <c r="O847" s="78" t="s">
        <v>305</v>
      </c>
      <c r="P847" s="78" t="s">
        <v>353</v>
      </c>
      <c r="Q847" s="78" t="s">
        <v>751</v>
      </c>
      <c r="R847" s="78" t="s">
        <v>737</v>
      </c>
      <c r="S847" s="78" t="s">
        <v>1646</v>
      </c>
      <c r="T847" s="78"/>
      <c r="U847" s="78" t="s">
        <v>1670</v>
      </c>
      <c r="V847" s="78"/>
      <c r="W847" s="81" t="s">
        <v>1674</v>
      </c>
      <c r="X847" s="81" t="s">
        <v>1674</v>
      </c>
      <c r="Y847" s="78" t="s">
        <v>1679</v>
      </c>
      <c r="Z847" s="78" t="s">
        <v>1709</v>
      </c>
      <c r="AA847" s="81" t="s">
        <v>1674</v>
      </c>
      <c r="AB847" s="79">
        <v>3</v>
      </c>
      <c r="AC847" s="80" t="str">
        <f>REPLACE(INDEX(GroupVertices[Group],MATCH("~"&amp;Edges[[#This Row],[Vertex 1]],GroupVertices[Vertex],0)),1,1,"")</f>
        <v>1</v>
      </c>
      <c r="AD847" s="80" t="str">
        <f>REPLACE(INDEX(GroupVertices[Group],MATCH("~"&amp;Edges[[#This Row],[Vertex 2]],GroupVertices[Vertex],0)),1,1,"")</f>
        <v>1</v>
      </c>
      <c r="AE847" s="105"/>
      <c r="AF847" s="105"/>
      <c r="AG847" s="105"/>
      <c r="AH847" s="105"/>
      <c r="AI847" s="105"/>
      <c r="AJ847" s="105"/>
      <c r="AK847" s="105"/>
      <c r="AL847" s="105"/>
      <c r="AM847" s="105"/>
    </row>
    <row r="848" spans="1:39" ht="15">
      <c r="A848" s="62" t="s">
        <v>235</v>
      </c>
      <c r="B848" s="62" t="s">
        <v>258</v>
      </c>
      <c r="C848" s="63" t="s">
        <v>3602</v>
      </c>
      <c r="D848" s="64">
        <v>5.526315789473684</v>
      </c>
      <c r="E848" s="65" t="s">
        <v>136</v>
      </c>
      <c r="F848" s="66">
        <v>31.0188679245283</v>
      </c>
      <c r="G848" s="63"/>
      <c r="H848" s="67"/>
      <c r="I848" s="68"/>
      <c r="J848" s="68"/>
      <c r="K848" s="31" t="s">
        <v>65</v>
      </c>
      <c r="L848" s="76">
        <v>848</v>
      </c>
      <c r="M848" s="76"/>
      <c r="N848" s="70"/>
      <c r="O848" s="78" t="s">
        <v>305</v>
      </c>
      <c r="P848" s="78" t="s">
        <v>501</v>
      </c>
      <c r="Q848" s="78" t="s">
        <v>995</v>
      </c>
      <c r="R848" s="78" t="s">
        <v>999</v>
      </c>
      <c r="S848" s="78"/>
      <c r="T848" s="78"/>
      <c r="U848" s="78"/>
      <c r="V848" s="78"/>
      <c r="W848" s="81" t="s">
        <v>1674</v>
      </c>
      <c r="X848" s="81" t="s">
        <v>1674</v>
      </c>
      <c r="Y848" s="78"/>
      <c r="Z848" s="78"/>
      <c r="AA848" s="81" t="s">
        <v>1674</v>
      </c>
      <c r="AB848" s="79">
        <v>3</v>
      </c>
      <c r="AC848" s="80" t="str">
        <f>REPLACE(INDEX(GroupVertices[Group],MATCH("~"&amp;Edges[[#This Row],[Vertex 1]],GroupVertices[Vertex],0)),1,1,"")</f>
        <v>1</v>
      </c>
      <c r="AD848" s="80" t="str">
        <f>REPLACE(INDEX(GroupVertices[Group],MATCH("~"&amp;Edges[[#This Row],[Vertex 2]],GroupVertices[Vertex],0)),1,1,"")</f>
        <v>1</v>
      </c>
      <c r="AE848" s="105"/>
      <c r="AF848" s="105"/>
      <c r="AG848" s="105"/>
      <c r="AH848" s="105"/>
      <c r="AI848" s="105"/>
      <c r="AJ848" s="105"/>
      <c r="AK848" s="105"/>
      <c r="AL848" s="105"/>
      <c r="AM848" s="105"/>
    </row>
    <row r="849" spans="1:39" ht="15">
      <c r="A849" s="62" t="s">
        <v>235</v>
      </c>
      <c r="B849" s="62" t="s">
        <v>259</v>
      </c>
      <c r="C849" s="63" t="s">
        <v>3605</v>
      </c>
      <c r="D849" s="64">
        <v>8.421052631578947</v>
      </c>
      <c r="E849" s="65" t="s">
        <v>136</v>
      </c>
      <c r="F849" s="66">
        <v>25.62264150943396</v>
      </c>
      <c r="G849" s="63"/>
      <c r="H849" s="67"/>
      <c r="I849" s="68"/>
      <c r="J849" s="68"/>
      <c r="K849" s="31" t="s">
        <v>65</v>
      </c>
      <c r="L849" s="76">
        <v>849</v>
      </c>
      <c r="M849" s="76"/>
      <c r="N849" s="70"/>
      <c r="O849" s="78" t="s">
        <v>305</v>
      </c>
      <c r="P849" s="78" t="s">
        <v>449</v>
      </c>
      <c r="Q849" s="78" t="s">
        <v>902</v>
      </c>
      <c r="R849" s="78" t="s">
        <v>900</v>
      </c>
      <c r="S849" s="78"/>
      <c r="T849" s="78"/>
      <c r="U849" s="78"/>
      <c r="V849" s="78"/>
      <c r="W849" s="81" t="s">
        <v>1674</v>
      </c>
      <c r="X849" s="81" t="s">
        <v>1674</v>
      </c>
      <c r="Y849" s="78"/>
      <c r="Z849" s="78"/>
      <c r="AA849" s="81" t="s">
        <v>1674</v>
      </c>
      <c r="AB849" s="79">
        <v>14</v>
      </c>
      <c r="AC849" s="80" t="str">
        <f>REPLACE(INDEX(GroupVertices[Group],MATCH("~"&amp;Edges[[#This Row],[Vertex 1]],GroupVertices[Vertex],0)),1,1,"")</f>
        <v>1</v>
      </c>
      <c r="AD849" s="80" t="str">
        <f>REPLACE(INDEX(GroupVertices[Group],MATCH("~"&amp;Edges[[#This Row],[Vertex 2]],GroupVertices[Vertex],0)),1,1,"")</f>
        <v>1</v>
      </c>
      <c r="AE849" s="105"/>
      <c r="AF849" s="105"/>
      <c r="AG849" s="105"/>
      <c r="AH849" s="105"/>
      <c r="AI849" s="105"/>
      <c r="AJ849" s="105"/>
      <c r="AK849" s="105"/>
      <c r="AL849" s="105"/>
      <c r="AM849" s="105"/>
    </row>
    <row r="850" spans="1:39" ht="15">
      <c r="A850" s="62" t="s">
        <v>235</v>
      </c>
      <c r="B850" s="62" t="s">
        <v>259</v>
      </c>
      <c r="C850" s="63" t="s">
        <v>3605</v>
      </c>
      <c r="D850" s="64">
        <v>8.421052631578947</v>
      </c>
      <c r="E850" s="65" t="s">
        <v>136</v>
      </c>
      <c r="F850" s="66">
        <v>25.62264150943396</v>
      </c>
      <c r="G850" s="63"/>
      <c r="H850" s="67"/>
      <c r="I850" s="68"/>
      <c r="J850" s="68"/>
      <c r="K850" s="31" t="s">
        <v>65</v>
      </c>
      <c r="L850" s="76">
        <v>850</v>
      </c>
      <c r="M850" s="76"/>
      <c r="N850" s="70"/>
      <c r="O850" s="78" t="s">
        <v>305</v>
      </c>
      <c r="P850" s="78" t="s">
        <v>449</v>
      </c>
      <c r="Q850" s="78" t="s">
        <v>902</v>
      </c>
      <c r="R850" s="78" t="s">
        <v>901</v>
      </c>
      <c r="S850" s="78"/>
      <c r="T850" s="78"/>
      <c r="U850" s="78"/>
      <c r="V850" s="78"/>
      <c r="W850" s="81" t="s">
        <v>1674</v>
      </c>
      <c r="X850" s="81" t="s">
        <v>1674</v>
      </c>
      <c r="Y850" s="78"/>
      <c r="Z850" s="78"/>
      <c r="AA850" s="81" t="s">
        <v>1674</v>
      </c>
      <c r="AB850" s="79">
        <v>14</v>
      </c>
      <c r="AC850" s="80" t="str">
        <f>REPLACE(INDEX(GroupVertices[Group],MATCH("~"&amp;Edges[[#This Row],[Vertex 1]],GroupVertices[Vertex],0)),1,1,"")</f>
        <v>1</v>
      </c>
      <c r="AD850" s="80" t="str">
        <f>REPLACE(INDEX(GroupVertices[Group],MATCH("~"&amp;Edges[[#This Row],[Vertex 2]],GroupVertices[Vertex],0)),1,1,"")</f>
        <v>1</v>
      </c>
      <c r="AE850" s="105"/>
      <c r="AF850" s="105"/>
      <c r="AG850" s="105"/>
      <c r="AH850" s="105"/>
      <c r="AI850" s="105"/>
      <c r="AJ850" s="105"/>
      <c r="AK850" s="105"/>
      <c r="AL850" s="105"/>
      <c r="AM850" s="105"/>
    </row>
    <row r="851" spans="1:39" ht="15">
      <c r="A851" s="62" t="s">
        <v>235</v>
      </c>
      <c r="B851" s="62" t="s">
        <v>259</v>
      </c>
      <c r="C851" s="63" t="s">
        <v>3605</v>
      </c>
      <c r="D851" s="64">
        <v>8.421052631578947</v>
      </c>
      <c r="E851" s="65" t="s">
        <v>136</v>
      </c>
      <c r="F851" s="66">
        <v>25.62264150943396</v>
      </c>
      <c r="G851" s="63"/>
      <c r="H851" s="67"/>
      <c r="I851" s="68"/>
      <c r="J851" s="68"/>
      <c r="K851" s="31" t="s">
        <v>65</v>
      </c>
      <c r="L851" s="76">
        <v>851</v>
      </c>
      <c r="M851" s="76"/>
      <c r="N851" s="70"/>
      <c r="O851" s="78" t="s">
        <v>305</v>
      </c>
      <c r="P851" s="78" t="s">
        <v>360</v>
      </c>
      <c r="Q851" s="78" t="s">
        <v>748</v>
      </c>
      <c r="R851" s="78" t="s">
        <v>738</v>
      </c>
      <c r="S851" s="78"/>
      <c r="T851" s="78"/>
      <c r="U851" s="78"/>
      <c r="V851" s="78"/>
      <c r="W851" s="81" t="s">
        <v>1674</v>
      </c>
      <c r="X851" s="81" t="s">
        <v>1674</v>
      </c>
      <c r="Y851" s="78"/>
      <c r="Z851" s="78"/>
      <c r="AA851" s="81" t="s">
        <v>1674</v>
      </c>
      <c r="AB851" s="79">
        <v>14</v>
      </c>
      <c r="AC851" s="80" t="str">
        <f>REPLACE(INDEX(GroupVertices[Group],MATCH("~"&amp;Edges[[#This Row],[Vertex 1]],GroupVertices[Vertex],0)),1,1,"")</f>
        <v>1</v>
      </c>
      <c r="AD851" s="80" t="str">
        <f>REPLACE(INDEX(GroupVertices[Group],MATCH("~"&amp;Edges[[#This Row],[Vertex 2]],GroupVertices[Vertex],0)),1,1,"")</f>
        <v>1</v>
      </c>
      <c r="AE851" s="105"/>
      <c r="AF851" s="105"/>
      <c r="AG851" s="105"/>
      <c r="AH851" s="105"/>
      <c r="AI851" s="105"/>
      <c r="AJ851" s="105"/>
      <c r="AK851" s="105"/>
      <c r="AL851" s="105"/>
      <c r="AM851" s="105"/>
    </row>
    <row r="852" spans="1:39" ht="15">
      <c r="A852" s="62" t="s">
        <v>235</v>
      </c>
      <c r="B852" s="62" t="s">
        <v>259</v>
      </c>
      <c r="C852" s="63" t="s">
        <v>3605</v>
      </c>
      <c r="D852" s="64">
        <v>8.421052631578947</v>
      </c>
      <c r="E852" s="65" t="s">
        <v>136</v>
      </c>
      <c r="F852" s="66">
        <v>25.62264150943396</v>
      </c>
      <c r="G852" s="63"/>
      <c r="H852" s="67"/>
      <c r="I852" s="68"/>
      <c r="J852" s="68"/>
      <c r="K852" s="31" t="s">
        <v>65</v>
      </c>
      <c r="L852" s="76">
        <v>852</v>
      </c>
      <c r="M852" s="76"/>
      <c r="N852" s="70"/>
      <c r="O852" s="78" t="s">
        <v>305</v>
      </c>
      <c r="P852" s="78" t="s">
        <v>360</v>
      </c>
      <c r="Q852" s="78" t="s">
        <v>748</v>
      </c>
      <c r="R852" s="78" t="s">
        <v>739</v>
      </c>
      <c r="S852" s="78"/>
      <c r="T852" s="78"/>
      <c r="U852" s="78"/>
      <c r="V852" s="78"/>
      <c r="W852" s="81" t="s">
        <v>1674</v>
      </c>
      <c r="X852" s="81" t="s">
        <v>1674</v>
      </c>
      <c r="Y852" s="78"/>
      <c r="Z852" s="78"/>
      <c r="AA852" s="81" t="s">
        <v>1674</v>
      </c>
      <c r="AB852" s="79">
        <v>14</v>
      </c>
      <c r="AC852" s="80" t="str">
        <f>REPLACE(INDEX(GroupVertices[Group],MATCH("~"&amp;Edges[[#This Row],[Vertex 1]],GroupVertices[Vertex],0)),1,1,"")</f>
        <v>1</v>
      </c>
      <c r="AD852" s="80" t="str">
        <f>REPLACE(INDEX(GroupVertices[Group],MATCH("~"&amp;Edges[[#This Row],[Vertex 2]],GroupVertices[Vertex],0)),1,1,"")</f>
        <v>1</v>
      </c>
      <c r="AE852" s="105"/>
      <c r="AF852" s="105"/>
      <c r="AG852" s="105"/>
      <c r="AH852" s="105"/>
      <c r="AI852" s="105"/>
      <c r="AJ852" s="105"/>
      <c r="AK852" s="105"/>
      <c r="AL852" s="105"/>
      <c r="AM852" s="105"/>
    </row>
    <row r="853" spans="1:39" ht="15">
      <c r="A853" s="62" t="s">
        <v>235</v>
      </c>
      <c r="B853" s="62" t="s">
        <v>259</v>
      </c>
      <c r="C853" s="63" t="s">
        <v>3605</v>
      </c>
      <c r="D853" s="64">
        <v>8.421052631578947</v>
      </c>
      <c r="E853" s="65" t="s">
        <v>136</v>
      </c>
      <c r="F853" s="66">
        <v>25.62264150943396</v>
      </c>
      <c r="G853" s="63"/>
      <c r="H853" s="67"/>
      <c r="I853" s="68"/>
      <c r="J853" s="68"/>
      <c r="K853" s="31" t="s">
        <v>65</v>
      </c>
      <c r="L853" s="76">
        <v>853</v>
      </c>
      <c r="M853" s="76"/>
      <c r="N853" s="70"/>
      <c r="O853" s="78" t="s">
        <v>305</v>
      </c>
      <c r="P853" s="78" t="s">
        <v>360</v>
      </c>
      <c r="Q853" s="78" t="s">
        <v>748</v>
      </c>
      <c r="R853" s="78" t="s">
        <v>740</v>
      </c>
      <c r="S853" s="78"/>
      <c r="T853" s="78"/>
      <c r="U853" s="78"/>
      <c r="V853" s="78"/>
      <c r="W853" s="81" t="s">
        <v>1674</v>
      </c>
      <c r="X853" s="81" t="s">
        <v>1674</v>
      </c>
      <c r="Y853" s="78"/>
      <c r="Z853" s="78"/>
      <c r="AA853" s="81" t="s">
        <v>1674</v>
      </c>
      <c r="AB853" s="79">
        <v>14</v>
      </c>
      <c r="AC853" s="80" t="str">
        <f>REPLACE(INDEX(GroupVertices[Group],MATCH("~"&amp;Edges[[#This Row],[Vertex 1]],GroupVertices[Vertex],0)),1,1,"")</f>
        <v>1</v>
      </c>
      <c r="AD853" s="80" t="str">
        <f>REPLACE(INDEX(GroupVertices[Group],MATCH("~"&amp;Edges[[#This Row],[Vertex 2]],GroupVertices[Vertex],0)),1,1,"")</f>
        <v>1</v>
      </c>
      <c r="AE853" s="105"/>
      <c r="AF853" s="105"/>
      <c r="AG853" s="105"/>
      <c r="AH853" s="105"/>
      <c r="AI853" s="105"/>
      <c r="AJ853" s="105"/>
      <c r="AK853" s="105"/>
      <c r="AL853" s="105"/>
      <c r="AM853" s="105"/>
    </row>
    <row r="854" spans="1:39" ht="15">
      <c r="A854" s="62" t="s">
        <v>235</v>
      </c>
      <c r="B854" s="62" t="s">
        <v>259</v>
      </c>
      <c r="C854" s="63" t="s">
        <v>3605</v>
      </c>
      <c r="D854" s="64">
        <v>8.421052631578947</v>
      </c>
      <c r="E854" s="65" t="s">
        <v>136</v>
      </c>
      <c r="F854" s="66">
        <v>25.62264150943396</v>
      </c>
      <c r="G854" s="63"/>
      <c r="H854" s="67"/>
      <c r="I854" s="68"/>
      <c r="J854" s="68"/>
      <c r="K854" s="31" t="s">
        <v>65</v>
      </c>
      <c r="L854" s="76">
        <v>854</v>
      </c>
      <c r="M854" s="76"/>
      <c r="N854" s="70"/>
      <c r="O854" s="78" t="s">
        <v>305</v>
      </c>
      <c r="P854" s="78" t="s">
        <v>360</v>
      </c>
      <c r="Q854" s="78" t="s">
        <v>748</v>
      </c>
      <c r="R854" s="78" t="s">
        <v>743</v>
      </c>
      <c r="S854" s="78"/>
      <c r="T854" s="78"/>
      <c r="U854" s="78"/>
      <c r="V854" s="78"/>
      <c r="W854" s="81" t="s">
        <v>1674</v>
      </c>
      <c r="X854" s="81" t="s">
        <v>1674</v>
      </c>
      <c r="Y854" s="78"/>
      <c r="Z854" s="78"/>
      <c r="AA854" s="81" t="s">
        <v>1674</v>
      </c>
      <c r="AB854" s="79">
        <v>14</v>
      </c>
      <c r="AC854" s="80" t="str">
        <f>REPLACE(INDEX(GroupVertices[Group],MATCH("~"&amp;Edges[[#This Row],[Vertex 1]],GroupVertices[Vertex],0)),1,1,"")</f>
        <v>1</v>
      </c>
      <c r="AD854" s="80" t="str">
        <f>REPLACE(INDEX(GroupVertices[Group],MATCH("~"&amp;Edges[[#This Row],[Vertex 2]],GroupVertices[Vertex],0)),1,1,"")</f>
        <v>1</v>
      </c>
      <c r="AE854" s="105"/>
      <c r="AF854" s="105"/>
      <c r="AG854" s="105"/>
      <c r="AH854" s="105"/>
      <c r="AI854" s="105"/>
      <c r="AJ854" s="105"/>
      <c r="AK854" s="105"/>
      <c r="AL854" s="105"/>
      <c r="AM854" s="105"/>
    </row>
    <row r="855" spans="1:39" ht="15">
      <c r="A855" s="62" t="s">
        <v>235</v>
      </c>
      <c r="B855" s="62" t="s">
        <v>259</v>
      </c>
      <c r="C855" s="63" t="s">
        <v>3605</v>
      </c>
      <c r="D855" s="64">
        <v>8.421052631578947</v>
      </c>
      <c r="E855" s="65" t="s">
        <v>136</v>
      </c>
      <c r="F855" s="66">
        <v>25.62264150943396</v>
      </c>
      <c r="G855" s="63"/>
      <c r="H855" s="67"/>
      <c r="I855" s="68"/>
      <c r="J855" s="68"/>
      <c r="K855" s="31" t="s">
        <v>65</v>
      </c>
      <c r="L855" s="76">
        <v>855</v>
      </c>
      <c r="M855" s="76"/>
      <c r="N855" s="70"/>
      <c r="O855" s="78" t="s">
        <v>305</v>
      </c>
      <c r="P855" s="78" t="s">
        <v>360</v>
      </c>
      <c r="Q855" s="78" t="s">
        <v>749</v>
      </c>
      <c r="R855" s="78" t="s">
        <v>738</v>
      </c>
      <c r="S855" s="78"/>
      <c r="T855" s="78"/>
      <c r="U855" s="78"/>
      <c r="V855" s="78"/>
      <c r="W855" s="81" t="s">
        <v>1674</v>
      </c>
      <c r="X855" s="81" t="s">
        <v>1674</v>
      </c>
      <c r="Y855" s="78"/>
      <c r="Z855" s="78"/>
      <c r="AA855" s="81" t="s">
        <v>1674</v>
      </c>
      <c r="AB855" s="79">
        <v>14</v>
      </c>
      <c r="AC855" s="80" t="str">
        <f>REPLACE(INDEX(GroupVertices[Group],MATCH("~"&amp;Edges[[#This Row],[Vertex 1]],GroupVertices[Vertex],0)),1,1,"")</f>
        <v>1</v>
      </c>
      <c r="AD855" s="80" t="str">
        <f>REPLACE(INDEX(GroupVertices[Group],MATCH("~"&amp;Edges[[#This Row],[Vertex 2]],GroupVertices[Vertex],0)),1,1,"")</f>
        <v>1</v>
      </c>
      <c r="AE855" s="105"/>
      <c r="AF855" s="105"/>
      <c r="AG855" s="105"/>
      <c r="AH855" s="105"/>
      <c r="AI855" s="105"/>
      <c r="AJ855" s="105"/>
      <c r="AK855" s="105"/>
      <c r="AL855" s="105"/>
      <c r="AM855" s="105"/>
    </row>
    <row r="856" spans="1:39" ht="15">
      <c r="A856" s="62" t="s">
        <v>235</v>
      </c>
      <c r="B856" s="62" t="s">
        <v>259</v>
      </c>
      <c r="C856" s="63" t="s">
        <v>3605</v>
      </c>
      <c r="D856" s="64">
        <v>8.421052631578947</v>
      </c>
      <c r="E856" s="65" t="s">
        <v>136</v>
      </c>
      <c r="F856" s="66">
        <v>25.62264150943396</v>
      </c>
      <c r="G856" s="63"/>
      <c r="H856" s="67"/>
      <c r="I856" s="68"/>
      <c r="J856" s="68"/>
      <c r="K856" s="31" t="s">
        <v>65</v>
      </c>
      <c r="L856" s="76">
        <v>856</v>
      </c>
      <c r="M856" s="76"/>
      <c r="N856" s="70"/>
      <c r="O856" s="78" t="s">
        <v>305</v>
      </c>
      <c r="P856" s="78" t="s">
        <v>360</v>
      </c>
      <c r="Q856" s="78" t="s">
        <v>749</v>
      </c>
      <c r="R856" s="78" t="s">
        <v>739</v>
      </c>
      <c r="S856" s="78"/>
      <c r="T856" s="78"/>
      <c r="U856" s="78"/>
      <c r="V856" s="78"/>
      <c r="W856" s="81" t="s">
        <v>1674</v>
      </c>
      <c r="X856" s="81" t="s">
        <v>1674</v>
      </c>
      <c r="Y856" s="78"/>
      <c r="Z856" s="78"/>
      <c r="AA856" s="81" t="s">
        <v>1674</v>
      </c>
      <c r="AB856" s="79">
        <v>14</v>
      </c>
      <c r="AC856" s="80" t="str">
        <f>REPLACE(INDEX(GroupVertices[Group],MATCH("~"&amp;Edges[[#This Row],[Vertex 1]],GroupVertices[Vertex],0)),1,1,"")</f>
        <v>1</v>
      </c>
      <c r="AD856" s="80" t="str">
        <f>REPLACE(INDEX(GroupVertices[Group],MATCH("~"&amp;Edges[[#This Row],[Vertex 2]],GroupVertices[Vertex],0)),1,1,"")</f>
        <v>1</v>
      </c>
      <c r="AE856" s="105"/>
      <c r="AF856" s="105"/>
      <c r="AG856" s="105"/>
      <c r="AH856" s="105"/>
      <c r="AI856" s="105"/>
      <c r="AJ856" s="105"/>
      <c r="AK856" s="105"/>
      <c r="AL856" s="105"/>
      <c r="AM856" s="105"/>
    </row>
    <row r="857" spans="1:39" ht="15">
      <c r="A857" s="62" t="s">
        <v>235</v>
      </c>
      <c r="B857" s="62" t="s">
        <v>259</v>
      </c>
      <c r="C857" s="63" t="s">
        <v>3605</v>
      </c>
      <c r="D857" s="64">
        <v>8.421052631578947</v>
      </c>
      <c r="E857" s="65" t="s">
        <v>136</v>
      </c>
      <c r="F857" s="66">
        <v>25.62264150943396</v>
      </c>
      <c r="G857" s="63"/>
      <c r="H857" s="67"/>
      <c r="I857" s="68"/>
      <c r="J857" s="68"/>
      <c r="K857" s="31" t="s">
        <v>65</v>
      </c>
      <c r="L857" s="76">
        <v>857</v>
      </c>
      <c r="M857" s="76"/>
      <c r="N857" s="70"/>
      <c r="O857" s="78" t="s">
        <v>305</v>
      </c>
      <c r="P857" s="78" t="s">
        <v>360</v>
      </c>
      <c r="Q857" s="78" t="s">
        <v>749</v>
      </c>
      <c r="R857" s="78" t="s">
        <v>740</v>
      </c>
      <c r="S857" s="78"/>
      <c r="T857" s="78"/>
      <c r="U857" s="78"/>
      <c r="V857" s="78"/>
      <c r="W857" s="81" t="s">
        <v>1674</v>
      </c>
      <c r="X857" s="81" t="s">
        <v>1674</v>
      </c>
      <c r="Y857" s="78"/>
      <c r="Z857" s="78"/>
      <c r="AA857" s="81" t="s">
        <v>1674</v>
      </c>
      <c r="AB857" s="79">
        <v>14</v>
      </c>
      <c r="AC857" s="80" t="str">
        <f>REPLACE(INDEX(GroupVertices[Group],MATCH("~"&amp;Edges[[#This Row],[Vertex 1]],GroupVertices[Vertex],0)),1,1,"")</f>
        <v>1</v>
      </c>
      <c r="AD857" s="80" t="str">
        <f>REPLACE(INDEX(GroupVertices[Group],MATCH("~"&amp;Edges[[#This Row],[Vertex 2]],GroupVertices[Vertex],0)),1,1,"")</f>
        <v>1</v>
      </c>
      <c r="AE857" s="105"/>
      <c r="AF857" s="105"/>
      <c r="AG857" s="105"/>
      <c r="AH857" s="105"/>
      <c r="AI857" s="105"/>
      <c r="AJ857" s="105"/>
      <c r="AK857" s="105"/>
      <c r="AL857" s="105"/>
      <c r="AM857" s="105"/>
    </row>
    <row r="858" spans="1:39" ht="15">
      <c r="A858" s="62" t="s">
        <v>235</v>
      </c>
      <c r="B858" s="62" t="s">
        <v>259</v>
      </c>
      <c r="C858" s="63" t="s">
        <v>3605</v>
      </c>
      <c r="D858" s="64">
        <v>8.421052631578947</v>
      </c>
      <c r="E858" s="65" t="s">
        <v>136</v>
      </c>
      <c r="F858" s="66">
        <v>25.62264150943396</v>
      </c>
      <c r="G858" s="63"/>
      <c r="H858" s="67"/>
      <c r="I858" s="68"/>
      <c r="J858" s="68"/>
      <c r="K858" s="31" t="s">
        <v>65</v>
      </c>
      <c r="L858" s="76">
        <v>858</v>
      </c>
      <c r="M858" s="76"/>
      <c r="N858" s="70"/>
      <c r="O858" s="78" t="s">
        <v>305</v>
      </c>
      <c r="P858" s="78" t="s">
        <v>360</v>
      </c>
      <c r="Q858" s="78" t="s">
        <v>749</v>
      </c>
      <c r="R858" s="78" t="s">
        <v>743</v>
      </c>
      <c r="S858" s="78"/>
      <c r="T858" s="78"/>
      <c r="U858" s="78"/>
      <c r="V858" s="78"/>
      <c r="W858" s="81" t="s">
        <v>1674</v>
      </c>
      <c r="X858" s="81" t="s">
        <v>1674</v>
      </c>
      <c r="Y858" s="78"/>
      <c r="Z858" s="78"/>
      <c r="AA858" s="81" t="s">
        <v>1674</v>
      </c>
      <c r="AB858" s="79">
        <v>14</v>
      </c>
      <c r="AC858" s="80" t="str">
        <f>REPLACE(INDEX(GroupVertices[Group],MATCH("~"&amp;Edges[[#This Row],[Vertex 1]],GroupVertices[Vertex],0)),1,1,"")</f>
        <v>1</v>
      </c>
      <c r="AD858" s="80" t="str">
        <f>REPLACE(INDEX(GroupVertices[Group],MATCH("~"&amp;Edges[[#This Row],[Vertex 2]],GroupVertices[Vertex],0)),1,1,"")</f>
        <v>1</v>
      </c>
      <c r="AE858" s="105"/>
      <c r="AF858" s="105"/>
      <c r="AG858" s="105"/>
      <c r="AH858" s="105"/>
      <c r="AI858" s="105"/>
      <c r="AJ858" s="105"/>
      <c r="AK858" s="105"/>
      <c r="AL858" s="105"/>
      <c r="AM858" s="105"/>
    </row>
    <row r="859" spans="1:39" ht="15">
      <c r="A859" s="62" t="s">
        <v>235</v>
      </c>
      <c r="B859" s="62" t="s">
        <v>259</v>
      </c>
      <c r="C859" s="63" t="s">
        <v>3605</v>
      </c>
      <c r="D859" s="64">
        <v>8.421052631578947</v>
      </c>
      <c r="E859" s="65" t="s">
        <v>136</v>
      </c>
      <c r="F859" s="66">
        <v>25.62264150943396</v>
      </c>
      <c r="G859" s="63"/>
      <c r="H859" s="67"/>
      <c r="I859" s="68"/>
      <c r="J859" s="68"/>
      <c r="K859" s="31" t="s">
        <v>65</v>
      </c>
      <c r="L859" s="76">
        <v>859</v>
      </c>
      <c r="M859" s="76"/>
      <c r="N859" s="70"/>
      <c r="O859" s="78" t="s">
        <v>305</v>
      </c>
      <c r="P859" s="78" t="s">
        <v>360</v>
      </c>
      <c r="Q859" s="78" t="s">
        <v>750</v>
      </c>
      <c r="R859" s="78" t="s">
        <v>738</v>
      </c>
      <c r="S859" s="78"/>
      <c r="T859" s="78"/>
      <c r="U859" s="78"/>
      <c r="V859" s="78"/>
      <c r="W859" s="81" t="s">
        <v>1674</v>
      </c>
      <c r="X859" s="81" t="s">
        <v>1674</v>
      </c>
      <c r="Y859" s="78"/>
      <c r="Z859" s="78"/>
      <c r="AA859" s="81" t="s">
        <v>1674</v>
      </c>
      <c r="AB859" s="79">
        <v>14</v>
      </c>
      <c r="AC859" s="80" t="str">
        <f>REPLACE(INDEX(GroupVertices[Group],MATCH("~"&amp;Edges[[#This Row],[Vertex 1]],GroupVertices[Vertex],0)),1,1,"")</f>
        <v>1</v>
      </c>
      <c r="AD859" s="80" t="str">
        <f>REPLACE(INDEX(GroupVertices[Group],MATCH("~"&amp;Edges[[#This Row],[Vertex 2]],GroupVertices[Vertex],0)),1,1,"")</f>
        <v>1</v>
      </c>
      <c r="AE859" s="105"/>
      <c r="AF859" s="105"/>
      <c r="AG859" s="105"/>
      <c r="AH859" s="105"/>
      <c r="AI859" s="105"/>
      <c r="AJ859" s="105"/>
      <c r="AK859" s="105"/>
      <c r="AL859" s="105"/>
      <c r="AM859" s="105"/>
    </row>
    <row r="860" spans="1:39" ht="15">
      <c r="A860" s="62" t="s">
        <v>235</v>
      </c>
      <c r="B860" s="62" t="s">
        <v>259</v>
      </c>
      <c r="C860" s="63" t="s">
        <v>3605</v>
      </c>
      <c r="D860" s="64">
        <v>8.421052631578947</v>
      </c>
      <c r="E860" s="65" t="s">
        <v>136</v>
      </c>
      <c r="F860" s="66">
        <v>25.62264150943396</v>
      </c>
      <c r="G860" s="63"/>
      <c r="H860" s="67"/>
      <c r="I860" s="68"/>
      <c r="J860" s="68"/>
      <c r="K860" s="31" t="s">
        <v>65</v>
      </c>
      <c r="L860" s="76">
        <v>860</v>
      </c>
      <c r="M860" s="76"/>
      <c r="N860" s="70"/>
      <c r="O860" s="78" t="s">
        <v>305</v>
      </c>
      <c r="P860" s="78" t="s">
        <v>360</v>
      </c>
      <c r="Q860" s="78" t="s">
        <v>750</v>
      </c>
      <c r="R860" s="78" t="s">
        <v>739</v>
      </c>
      <c r="S860" s="78"/>
      <c r="T860" s="78"/>
      <c r="U860" s="78"/>
      <c r="V860" s="78"/>
      <c r="W860" s="81" t="s">
        <v>1674</v>
      </c>
      <c r="X860" s="81" t="s">
        <v>1674</v>
      </c>
      <c r="Y860" s="78"/>
      <c r="Z860" s="78"/>
      <c r="AA860" s="81" t="s">
        <v>1674</v>
      </c>
      <c r="AB860" s="79">
        <v>14</v>
      </c>
      <c r="AC860" s="80" t="str">
        <f>REPLACE(INDEX(GroupVertices[Group],MATCH("~"&amp;Edges[[#This Row],[Vertex 1]],GroupVertices[Vertex],0)),1,1,"")</f>
        <v>1</v>
      </c>
      <c r="AD860" s="80" t="str">
        <f>REPLACE(INDEX(GroupVertices[Group],MATCH("~"&amp;Edges[[#This Row],[Vertex 2]],GroupVertices[Vertex],0)),1,1,"")</f>
        <v>1</v>
      </c>
      <c r="AE860" s="105"/>
      <c r="AF860" s="105"/>
      <c r="AG860" s="105"/>
      <c r="AH860" s="105"/>
      <c r="AI860" s="105"/>
      <c r="AJ860" s="105"/>
      <c r="AK860" s="105"/>
      <c r="AL860" s="105"/>
      <c r="AM860" s="105"/>
    </row>
    <row r="861" spans="1:39" ht="15">
      <c r="A861" s="62" t="s">
        <v>235</v>
      </c>
      <c r="B861" s="62" t="s">
        <v>259</v>
      </c>
      <c r="C861" s="63" t="s">
        <v>3605</v>
      </c>
      <c r="D861" s="64">
        <v>8.421052631578947</v>
      </c>
      <c r="E861" s="65" t="s">
        <v>136</v>
      </c>
      <c r="F861" s="66">
        <v>25.62264150943396</v>
      </c>
      <c r="G861" s="63"/>
      <c r="H861" s="67"/>
      <c r="I861" s="68"/>
      <c r="J861" s="68"/>
      <c r="K861" s="31" t="s">
        <v>65</v>
      </c>
      <c r="L861" s="76">
        <v>861</v>
      </c>
      <c r="M861" s="76"/>
      <c r="N861" s="70"/>
      <c r="O861" s="78" t="s">
        <v>305</v>
      </c>
      <c r="P861" s="78" t="s">
        <v>360</v>
      </c>
      <c r="Q861" s="78" t="s">
        <v>750</v>
      </c>
      <c r="R861" s="78" t="s">
        <v>740</v>
      </c>
      <c r="S861" s="78"/>
      <c r="T861" s="78"/>
      <c r="U861" s="78"/>
      <c r="V861" s="78"/>
      <c r="W861" s="81" t="s">
        <v>1674</v>
      </c>
      <c r="X861" s="81" t="s">
        <v>1674</v>
      </c>
      <c r="Y861" s="78"/>
      <c r="Z861" s="78"/>
      <c r="AA861" s="81" t="s">
        <v>1674</v>
      </c>
      <c r="AB861" s="79">
        <v>14</v>
      </c>
      <c r="AC861" s="80" t="str">
        <f>REPLACE(INDEX(GroupVertices[Group],MATCH("~"&amp;Edges[[#This Row],[Vertex 1]],GroupVertices[Vertex],0)),1,1,"")</f>
        <v>1</v>
      </c>
      <c r="AD861" s="80" t="str">
        <f>REPLACE(INDEX(GroupVertices[Group],MATCH("~"&amp;Edges[[#This Row],[Vertex 2]],GroupVertices[Vertex],0)),1,1,"")</f>
        <v>1</v>
      </c>
      <c r="AE861" s="105"/>
      <c r="AF861" s="105"/>
      <c r="AG861" s="105"/>
      <c r="AH861" s="105"/>
      <c r="AI861" s="105"/>
      <c r="AJ861" s="105"/>
      <c r="AK861" s="105"/>
      <c r="AL861" s="105"/>
      <c r="AM861" s="105"/>
    </row>
    <row r="862" spans="1:39" ht="15">
      <c r="A862" s="62" t="s">
        <v>235</v>
      </c>
      <c r="B862" s="62" t="s">
        <v>259</v>
      </c>
      <c r="C862" s="63" t="s">
        <v>3605</v>
      </c>
      <c r="D862" s="64">
        <v>8.421052631578947</v>
      </c>
      <c r="E862" s="65" t="s">
        <v>136</v>
      </c>
      <c r="F862" s="66">
        <v>25.62264150943396</v>
      </c>
      <c r="G862" s="63"/>
      <c r="H862" s="67"/>
      <c r="I862" s="68"/>
      <c r="J862" s="68"/>
      <c r="K862" s="31" t="s">
        <v>65</v>
      </c>
      <c r="L862" s="76">
        <v>862</v>
      </c>
      <c r="M862" s="76"/>
      <c r="N862" s="70"/>
      <c r="O862" s="78" t="s">
        <v>305</v>
      </c>
      <c r="P862" s="78" t="s">
        <v>360</v>
      </c>
      <c r="Q862" s="78" t="s">
        <v>750</v>
      </c>
      <c r="R862" s="78" t="s">
        <v>743</v>
      </c>
      <c r="S862" s="78"/>
      <c r="T862" s="78"/>
      <c r="U862" s="78"/>
      <c r="V862" s="78"/>
      <c r="W862" s="81" t="s">
        <v>1674</v>
      </c>
      <c r="X862" s="81" t="s">
        <v>1674</v>
      </c>
      <c r="Y862" s="78"/>
      <c r="Z862" s="78"/>
      <c r="AA862" s="81" t="s">
        <v>1674</v>
      </c>
      <c r="AB862" s="79">
        <v>14</v>
      </c>
      <c r="AC862" s="80" t="str">
        <f>REPLACE(INDEX(GroupVertices[Group],MATCH("~"&amp;Edges[[#This Row],[Vertex 1]],GroupVertices[Vertex],0)),1,1,"")</f>
        <v>1</v>
      </c>
      <c r="AD862" s="80" t="str">
        <f>REPLACE(INDEX(GroupVertices[Group],MATCH("~"&amp;Edges[[#This Row],[Vertex 2]],GroupVertices[Vertex],0)),1,1,"")</f>
        <v>1</v>
      </c>
      <c r="AE862" s="105"/>
      <c r="AF862" s="105"/>
      <c r="AG862" s="105"/>
      <c r="AH862" s="105"/>
      <c r="AI862" s="105"/>
      <c r="AJ862" s="105"/>
      <c r="AK862" s="105"/>
      <c r="AL862" s="105"/>
      <c r="AM862" s="105"/>
    </row>
    <row r="863" spans="1:39" ht="15">
      <c r="A863" s="62" t="s">
        <v>260</v>
      </c>
      <c r="B863" s="62" t="s">
        <v>235</v>
      </c>
      <c r="C863" s="63" t="s">
        <v>3608</v>
      </c>
      <c r="D863" s="64">
        <v>6.842105263157895</v>
      </c>
      <c r="E863" s="65" t="s">
        <v>136</v>
      </c>
      <c r="F863" s="66">
        <v>28.566037735849058</v>
      </c>
      <c r="G863" s="63"/>
      <c r="H863" s="67"/>
      <c r="I863" s="68"/>
      <c r="J863" s="68"/>
      <c r="K863" s="31" t="s">
        <v>65</v>
      </c>
      <c r="L863" s="76">
        <v>863</v>
      </c>
      <c r="M863" s="76"/>
      <c r="N863" s="70"/>
      <c r="O863" s="78" t="s">
        <v>305</v>
      </c>
      <c r="P863" s="78" t="s">
        <v>556</v>
      </c>
      <c r="Q863" s="78" t="s">
        <v>1090</v>
      </c>
      <c r="R863" s="78" t="s">
        <v>1542</v>
      </c>
      <c r="S863" s="78"/>
      <c r="T863" s="78"/>
      <c r="U863" s="78"/>
      <c r="V863" s="78"/>
      <c r="W863" s="81" t="s">
        <v>1674</v>
      </c>
      <c r="X863" s="81" t="s">
        <v>1674</v>
      </c>
      <c r="Y863" s="78"/>
      <c r="Z863" s="78"/>
      <c r="AA863" s="81" t="s">
        <v>1674</v>
      </c>
      <c r="AB863" s="79">
        <v>8</v>
      </c>
      <c r="AC863" s="80" t="str">
        <f>REPLACE(INDEX(GroupVertices[Group],MATCH("~"&amp;Edges[[#This Row],[Vertex 1]],GroupVertices[Vertex],0)),1,1,"")</f>
        <v>1</v>
      </c>
      <c r="AD863" s="80" t="str">
        <f>REPLACE(INDEX(GroupVertices[Group],MATCH("~"&amp;Edges[[#This Row],[Vertex 2]],GroupVertices[Vertex],0)),1,1,"")</f>
        <v>1</v>
      </c>
      <c r="AE863" s="105"/>
      <c r="AF863" s="105"/>
      <c r="AG863" s="105"/>
      <c r="AH863" s="105"/>
      <c r="AI863" s="105"/>
      <c r="AJ863" s="105"/>
      <c r="AK863" s="105"/>
      <c r="AL863" s="105"/>
      <c r="AM863" s="105"/>
    </row>
    <row r="864" spans="1:39" ht="15">
      <c r="A864" s="62" t="s">
        <v>260</v>
      </c>
      <c r="B864" s="62" t="s">
        <v>235</v>
      </c>
      <c r="C864" s="63" t="s">
        <v>3608</v>
      </c>
      <c r="D864" s="64">
        <v>6.842105263157895</v>
      </c>
      <c r="E864" s="65" t="s">
        <v>136</v>
      </c>
      <c r="F864" s="66">
        <v>28.566037735849058</v>
      </c>
      <c r="G864" s="63"/>
      <c r="H864" s="67"/>
      <c r="I864" s="68"/>
      <c r="J864" s="68"/>
      <c r="K864" s="31" t="s">
        <v>65</v>
      </c>
      <c r="L864" s="76">
        <v>864</v>
      </c>
      <c r="M864" s="76"/>
      <c r="N864" s="70"/>
      <c r="O864" s="78" t="s">
        <v>305</v>
      </c>
      <c r="P864" s="78" t="s">
        <v>444</v>
      </c>
      <c r="Q864" s="78" t="s">
        <v>893</v>
      </c>
      <c r="R864" s="78" t="s">
        <v>892</v>
      </c>
      <c r="S864" s="78"/>
      <c r="T864" s="78"/>
      <c r="U864" s="78"/>
      <c r="V864" s="78"/>
      <c r="W864" s="81" t="s">
        <v>1674</v>
      </c>
      <c r="X864" s="81" t="s">
        <v>1674</v>
      </c>
      <c r="Y864" s="78"/>
      <c r="Z864" s="78"/>
      <c r="AA864" s="81" t="s">
        <v>1674</v>
      </c>
      <c r="AB864" s="79">
        <v>8</v>
      </c>
      <c r="AC864" s="80" t="str">
        <f>REPLACE(INDEX(GroupVertices[Group],MATCH("~"&amp;Edges[[#This Row],[Vertex 1]],GroupVertices[Vertex],0)),1,1,"")</f>
        <v>1</v>
      </c>
      <c r="AD864" s="80" t="str">
        <f>REPLACE(INDEX(GroupVertices[Group],MATCH("~"&amp;Edges[[#This Row],[Vertex 2]],GroupVertices[Vertex],0)),1,1,"")</f>
        <v>1</v>
      </c>
      <c r="AE864" s="105"/>
      <c r="AF864" s="105"/>
      <c r="AG864" s="105"/>
      <c r="AH864" s="105"/>
      <c r="AI864" s="105"/>
      <c r="AJ864" s="105"/>
      <c r="AK864" s="105"/>
      <c r="AL864" s="105"/>
      <c r="AM864" s="105"/>
    </row>
    <row r="865" spans="1:39" ht="15">
      <c r="A865" s="62" t="s">
        <v>260</v>
      </c>
      <c r="B865" s="62" t="s">
        <v>235</v>
      </c>
      <c r="C865" s="63" t="s">
        <v>3608</v>
      </c>
      <c r="D865" s="64">
        <v>6.842105263157895</v>
      </c>
      <c r="E865" s="65" t="s">
        <v>136</v>
      </c>
      <c r="F865" s="66">
        <v>28.566037735849058</v>
      </c>
      <c r="G865" s="63"/>
      <c r="H865" s="67"/>
      <c r="I865" s="68"/>
      <c r="J865" s="68"/>
      <c r="K865" s="31" t="s">
        <v>65</v>
      </c>
      <c r="L865" s="76">
        <v>865</v>
      </c>
      <c r="M865" s="76"/>
      <c r="N865" s="70"/>
      <c r="O865" s="78" t="s">
        <v>305</v>
      </c>
      <c r="P865" s="78" t="s">
        <v>444</v>
      </c>
      <c r="Q865" s="78" t="s">
        <v>894</v>
      </c>
      <c r="R865" s="78" t="s">
        <v>892</v>
      </c>
      <c r="S865" s="78"/>
      <c r="T865" s="78"/>
      <c r="U865" s="78"/>
      <c r="V865" s="78"/>
      <c r="W865" s="81" t="s">
        <v>1674</v>
      </c>
      <c r="X865" s="81" t="s">
        <v>1674</v>
      </c>
      <c r="Y865" s="78"/>
      <c r="Z865" s="78"/>
      <c r="AA865" s="81" t="s">
        <v>1674</v>
      </c>
      <c r="AB865" s="79">
        <v>8</v>
      </c>
      <c r="AC865" s="80" t="str">
        <f>REPLACE(INDEX(GroupVertices[Group],MATCH("~"&amp;Edges[[#This Row],[Vertex 1]],GroupVertices[Vertex],0)),1,1,"")</f>
        <v>1</v>
      </c>
      <c r="AD865" s="80" t="str">
        <f>REPLACE(INDEX(GroupVertices[Group],MATCH("~"&amp;Edges[[#This Row],[Vertex 2]],GroupVertices[Vertex],0)),1,1,"")</f>
        <v>1</v>
      </c>
      <c r="AE865" s="105"/>
      <c r="AF865" s="105"/>
      <c r="AG865" s="105"/>
      <c r="AH865" s="105"/>
      <c r="AI865" s="105"/>
      <c r="AJ865" s="105"/>
      <c r="AK865" s="105"/>
      <c r="AL865" s="105"/>
      <c r="AM865" s="105"/>
    </row>
    <row r="866" spans="1:39" ht="15">
      <c r="A866" s="62" t="s">
        <v>260</v>
      </c>
      <c r="B866" s="62" t="s">
        <v>235</v>
      </c>
      <c r="C866" s="63" t="s">
        <v>3608</v>
      </c>
      <c r="D866" s="64">
        <v>6.842105263157895</v>
      </c>
      <c r="E866" s="65" t="s">
        <v>136</v>
      </c>
      <c r="F866" s="66">
        <v>28.566037735849058</v>
      </c>
      <c r="G866" s="63"/>
      <c r="H866" s="67"/>
      <c r="I866" s="68"/>
      <c r="J866" s="68"/>
      <c r="K866" s="31" t="s">
        <v>65</v>
      </c>
      <c r="L866" s="76">
        <v>866</v>
      </c>
      <c r="M866" s="76"/>
      <c r="N866" s="70"/>
      <c r="O866" s="78" t="s">
        <v>305</v>
      </c>
      <c r="P866" s="78" t="s">
        <v>553</v>
      </c>
      <c r="Q866" s="78" t="s">
        <v>1091</v>
      </c>
      <c r="R866" s="78" t="s">
        <v>1087</v>
      </c>
      <c r="S866" s="78"/>
      <c r="T866" s="78" t="s">
        <v>1655</v>
      </c>
      <c r="U866" s="78"/>
      <c r="V866" s="78" t="s">
        <v>1670</v>
      </c>
      <c r="W866" s="81" t="s">
        <v>1674</v>
      </c>
      <c r="X866" s="81" t="s">
        <v>1674</v>
      </c>
      <c r="Y866" s="78" t="s">
        <v>1698</v>
      </c>
      <c r="Z866" s="78" t="s">
        <v>1710</v>
      </c>
      <c r="AA866" s="81" t="s">
        <v>1674</v>
      </c>
      <c r="AB866" s="79">
        <v>8</v>
      </c>
      <c r="AC866" s="80" t="str">
        <f>REPLACE(INDEX(GroupVertices[Group],MATCH("~"&amp;Edges[[#This Row],[Vertex 1]],GroupVertices[Vertex],0)),1,1,"")</f>
        <v>1</v>
      </c>
      <c r="AD866" s="80" t="str">
        <f>REPLACE(INDEX(GroupVertices[Group],MATCH("~"&amp;Edges[[#This Row],[Vertex 2]],GroupVertices[Vertex],0)),1,1,"")</f>
        <v>1</v>
      </c>
      <c r="AE866" s="105"/>
      <c r="AF866" s="105"/>
      <c r="AG866" s="105"/>
      <c r="AH866" s="105"/>
      <c r="AI866" s="105"/>
      <c r="AJ866" s="105"/>
      <c r="AK866" s="105"/>
      <c r="AL866" s="105"/>
      <c r="AM866" s="105"/>
    </row>
    <row r="867" spans="1:39" ht="15">
      <c r="A867" s="62" t="s">
        <v>260</v>
      </c>
      <c r="B867" s="62" t="s">
        <v>235</v>
      </c>
      <c r="C867" s="63" t="s">
        <v>3608</v>
      </c>
      <c r="D867" s="64">
        <v>6.842105263157895</v>
      </c>
      <c r="E867" s="65" t="s">
        <v>136</v>
      </c>
      <c r="F867" s="66">
        <v>28.566037735849058</v>
      </c>
      <c r="G867" s="63"/>
      <c r="H867" s="67"/>
      <c r="I867" s="68"/>
      <c r="J867" s="68"/>
      <c r="K867" s="31" t="s">
        <v>65</v>
      </c>
      <c r="L867" s="76">
        <v>867</v>
      </c>
      <c r="M867" s="76"/>
      <c r="N867" s="70"/>
      <c r="O867" s="78" t="s">
        <v>305</v>
      </c>
      <c r="P867" s="78" t="s">
        <v>557</v>
      </c>
      <c r="Q867" s="78" t="s">
        <v>1092</v>
      </c>
      <c r="R867" s="78" t="s">
        <v>1543</v>
      </c>
      <c r="S867" s="78"/>
      <c r="T867" s="78"/>
      <c r="U867" s="78"/>
      <c r="V867" s="78"/>
      <c r="W867" s="81" t="s">
        <v>1674</v>
      </c>
      <c r="X867" s="81" t="s">
        <v>1674</v>
      </c>
      <c r="Y867" s="78"/>
      <c r="Z867" s="78"/>
      <c r="AA867" s="81" t="s">
        <v>1674</v>
      </c>
      <c r="AB867" s="79">
        <v>8</v>
      </c>
      <c r="AC867" s="80" t="str">
        <f>REPLACE(INDEX(GroupVertices[Group],MATCH("~"&amp;Edges[[#This Row],[Vertex 1]],GroupVertices[Vertex],0)),1,1,"")</f>
        <v>1</v>
      </c>
      <c r="AD867" s="80" t="str">
        <f>REPLACE(INDEX(GroupVertices[Group],MATCH("~"&amp;Edges[[#This Row],[Vertex 2]],GroupVertices[Vertex],0)),1,1,"")</f>
        <v>1</v>
      </c>
      <c r="AE867" s="105"/>
      <c r="AF867" s="105"/>
      <c r="AG867" s="105"/>
      <c r="AH867" s="105"/>
      <c r="AI867" s="105"/>
      <c r="AJ867" s="105"/>
      <c r="AK867" s="105"/>
      <c r="AL867" s="105"/>
      <c r="AM867" s="105"/>
    </row>
    <row r="868" spans="1:39" ht="15">
      <c r="A868" s="62" t="s">
        <v>260</v>
      </c>
      <c r="B868" s="62" t="s">
        <v>235</v>
      </c>
      <c r="C868" s="63" t="s">
        <v>3608</v>
      </c>
      <c r="D868" s="64">
        <v>6.842105263157895</v>
      </c>
      <c r="E868" s="65" t="s">
        <v>136</v>
      </c>
      <c r="F868" s="66">
        <v>28.566037735849058</v>
      </c>
      <c r="G868" s="63"/>
      <c r="H868" s="67"/>
      <c r="I868" s="68"/>
      <c r="J868" s="68"/>
      <c r="K868" s="31" t="s">
        <v>65</v>
      </c>
      <c r="L868" s="76">
        <v>868</v>
      </c>
      <c r="M868" s="76"/>
      <c r="N868" s="70"/>
      <c r="O868" s="78" t="s">
        <v>305</v>
      </c>
      <c r="P868" s="78" t="s">
        <v>446</v>
      </c>
      <c r="Q868" s="78" t="s">
        <v>1005</v>
      </c>
      <c r="R868" s="78" t="s">
        <v>1004</v>
      </c>
      <c r="S868" s="78"/>
      <c r="T868" s="78"/>
      <c r="U868" s="78"/>
      <c r="V868" s="78"/>
      <c r="W868" s="81" t="s">
        <v>1674</v>
      </c>
      <c r="X868" s="81" t="s">
        <v>1674</v>
      </c>
      <c r="Y868" s="78"/>
      <c r="Z868" s="78"/>
      <c r="AA868" s="81" t="s">
        <v>1674</v>
      </c>
      <c r="AB868" s="79">
        <v>8</v>
      </c>
      <c r="AC868" s="80" t="str">
        <f>REPLACE(INDEX(GroupVertices[Group],MATCH("~"&amp;Edges[[#This Row],[Vertex 1]],GroupVertices[Vertex],0)),1,1,"")</f>
        <v>1</v>
      </c>
      <c r="AD868" s="80" t="str">
        <f>REPLACE(INDEX(GroupVertices[Group],MATCH("~"&amp;Edges[[#This Row],[Vertex 2]],GroupVertices[Vertex],0)),1,1,"")</f>
        <v>1</v>
      </c>
      <c r="AE868" s="105"/>
      <c r="AF868" s="105"/>
      <c r="AG868" s="105"/>
      <c r="AH868" s="105"/>
      <c r="AI868" s="105"/>
      <c r="AJ868" s="105"/>
      <c r="AK868" s="105"/>
      <c r="AL868" s="105"/>
      <c r="AM868" s="105"/>
    </row>
    <row r="869" spans="1:39" ht="15">
      <c r="A869" s="62" t="s">
        <v>260</v>
      </c>
      <c r="B869" s="62" t="s">
        <v>235</v>
      </c>
      <c r="C869" s="63" t="s">
        <v>3608</v>
      </c>
      <c r="D869" s="64">
        <v>6.842105263157895</v>
      </c>
      <c r="E869" s="65" t="s">
        <v>136</v>
      </c>
      <c r="F869" s="66">
        <v>28.566037735849058</v>
      </c>
      <c r="G869" s="63"/>
      <c r="H869" s="67"/>
      <c r="I869" s="68"/>
      <c r="J869" s="68"/>
      <c r="K869" s="31" t="s">
        <v>65</v>
      </c>
      <c r="L869" s="76">
        <v>869</v>
      </c>
      <c r="M869" s="76"/>
      <c r="N869" s="70"/>
      <c r="O869" s="78" t="s">
        <v>305</v>
      </c>
      <c r="P869" s="78" t="s">
        <v>558</v>
      </c>
      <c r="Q869" s="78" t="s">
        <v>1093</v>
      </c>
      <c r="R869" s="78" t="s">
        <v>1544</v>
      </c>
      <c r="S869" s="78"/>
      <c r="T869" s="78"/>
      <c r="U869" s="78"/>
      <c r="V869" s="78"/>
      <c r="W869" s="81" t="s">
        <v>1674</v>
      </c>
      <c r="X869" s="81" t="s">
        <v>1674</v>
      </c>
      <c r="Y869" s="78"/>
      <c r="Z869" s="78"/>
      <c r="AA869" s="81" t="s">
        <v>1674</v>
      </c>
      <c r="AB869" s="79">
        <v>8</v>
      </c>
      <c r="AC869" s="80" t="str">
        <f>REPLACE(INDEX(GroupVertices[Group],MATCH("~"&amp;Edges[[#This Row],[Vertex 1]],GroupVertices[Vertex],0)),1,1,"")</f>
        <v>1</v>
      </c>
      <c r="AD869" s="80" t="str">
        <f>REPLACE(INDEX(GroupVertices[Group],MATCH("~"&amp;Edges[[#This Row],[Vertex 2]],GroupVertices[Vertex],0)),1,1,"")</f>
        <v>1</v>
      </c>
      <c r="AE869" s="105"/>
      <c r="AF869" s="105"/>
      <c r="AG869" s="105"/>
      <c r="AH869" s="105"/>
      <c r="AI869" s="105"/>
      <c r="AJ869" s="105"/>
      <c r="AK869" s="105"/>
      <c r="AL869" s="105"/>
      <c r="AM869" s="105"/>
    </row>
    <row r="870" spans="1:39" ht="15">
      <c r="A870" s="62" t="s">
        <v>260</v>
      </c>
      <c r="B870" s="62" t="s">
        <v>235</v>
      </c>
      <c r="C870" s="63" t="s">
        <v>3608</v>
      </c>
      <c r="D870" s="64">
        <v>6.842105263157895</v>
      </c>
      <c r="E870" s="65" t="s">
        <v>136</v>
      </c>
      <c r="F870" s="66">
        <v>28.566037735849058</v>
      </c>
      <c r="G870" s="63"/>
      <c r="H870" s="67"/>
      <c r="I870" s="68"/>
      <c r="J870" s="68"/>
      <c r="K870" s="31" t="s">
        <v>65</v>
      </c>
      <c r="L870" s="76">
        <v>870</v>
      </c>
      <c r="M870" s="76"/>
      <c r="N870" s="70"/>
      <c r="O870" s="78" t="s">
        <v>305</v>
      </c>
      <c r="P870" s="78" t="s">
        <v>501</v>
      </c>
      <c r="Q870" s="78" t="s">
        <v>995</v>
      </c>
      <c r="R870" s="78" t="s">
        <v>995</v>
      </c>
      <c r="S870" s="78"/>
      <c r="T870" s="78"/>
      <c r="U870" s="78"/>
      <c r="V870" s="78"/>
      <c r="W870" s="81" t="s">
        <v>1674</v>
      </c>
      <c r="X870" s="81" t="s">
        <v>1674</v>
      </c>
      <c r="Y870" s="78"/>
      <c r="Z870" s="78"/>
      <c r="AA870" s="81" t="s">
        <v>1674</v>
      </c>
      <c r="AB870" s="79">
        <v>8</v>
      </c>
      <c r="AC870" s="80" t="str">
        <f>REPLACE(INDEX(GroupVertices[Group],MATCH("~"&amp;Edges[[#This Row],[Vertex 1]],GroupVertices[Vertex],0)),1,1,"")</f>
        <v>1</v>
      </c>
      <c r="AD870" s="80" t="str">
        <f>REPLACE(INDEX(GroupVertices[Group],MATCH("~"&amp;Edges[[#This Row],[Vertex 2]],GroupVertices[Vertex],0)),1,1,"")</f>
        <v>1</v>
      </c>
      <c r="AE870" s="105"/>
      <c r="AF870" s="105"/>
      <c r="AG870" s="105"/>
      <c r="AH870" s="105"/>
      <c r="AI870" s="105"/>
      <c r="AJ870" s="105"/>
      <c r="AK870" s="105"/>
      <c r="AL870" s="105"/>
      <c r="AM870" s="105"/>
    </row>
    <row r="871" spans="1:39" ht="15">
      <c r="A871" s="62" t="s">
        <v>266</v>
      </c>
      <c r="B871" s="62" t="s">
        <v>235</v>
      </c>
      <c r="C871" s="63" t="s">
        <v>3598</v>
      </c>
      <c r="D871" s="64">
        <v>5.2631578947368425</v>
      </c>
      <c r="E871" s="65" t="s">
        <v>136</v>
      </c>
      <c r="F871" s="66">
        <v>31.50943396226415</v>
      </c>
      <c r="G871" s="63"/>
      <c r="H871" s="67"/>
      <c r="I871" s="68"/>
      <c r="J871" s="68"/>
      <c r="K871" s="31" t="s">
        <v>65</v>
      </c>
      <c r="L871" s="76">
        <v>871</v>
      </c>
      <c r="M871" s="76"/>
      <c r="N871" s="70"/>
      <c r="O871" s="78" t="s">
        <v>305</v>
      </c>
      <c r="P871" s="78" t="s">
        <v>559</v>
      </c>
      <c r="Q871" s="78" t="s">
        <v>1094</v>
      </c>
      <c r="R871" s="78" t="s">
        <v>1545</v>
      </c>
      <c r="S871" s="78"/>
      <c r="T871" s="78"/>
      <c r="U871" s="78"/>
      <c r="V871" s="78"/>
      <c r="W871" s="81" t="s">
        <v>1674</v>
      </c>
      <c r="X871" s="81" t="s">
        <v>1674</v>
      </c>
      <c r="Y871" s="78"/>
      <c r="Z871" s="78"/>
      <c r="AA871" s="81" t="s">
        <v>1674</v>
      </c>
      <c r="AB871" s="79">
        <v>2</v>
      </c>
      <c r="AC871" s="80" t="str">
        <f>REPLACE(INDEX(GroupVertices[Group],MATCH("~"&amp;Edges[[#This Row],[Vertex 1]],GroupVertices[Vertex],0)),1,1,"")</f>
        <v>1</v>
      </c>
      <c r="AD871" s="80" t="str">
        <f>REPLACE(INDEX(GroupVertices[Group],MATCH("~"&amp;Edges[[#This Row],[Vertex 2]],GroupVertices[Vertex],0)),1,1,"")</f>
        <v>1</v>
      </c>
      <c r="AE871" s="105"/>
      <c r="AF871" s="105"/>
      <c r="AG871" s="105"/>
      <c r="AH871" s="105"/>
      <c r="AI871" s="105"/>
      <c r="AJ871" s="105"/>
      <c r="AK871" s="105"/>
      <c r="AL871" s="105"/>
      <c r="AM871" s="105"/>
    </row>
    <row r="872" spans="1:39" ht="15">
      <c r="A872" s="62" t="s">
        <v>266</v>
      </c>
      <c r="B872" s="62" t="s">
        <v>235</v>
      </c>
      <c r="C872" s="63" t="s">
        <v>3598</v>
      </c>
      <c r="D872" s="64">
        <v>5.2631578947368425</v>
      </c>
      <c r="E872" s="65" t="s">
        <v>136</v>
      </c>
      <c r="F872" s="66">
        <v>31.50943396226415</v>
      </c>
      <c r="G872" s="63"/>
      <c r="H872" s="67"/>
      <c r="I872" s="68"/>
      <c r="J872" s="68"/>
      <c r="K872" s="31" t="s">
        <v>65</v>
      </c>
      <c r="L872" s="76">
        <v>872</v>
      </c>
      <c r="M872" s="76"/>
      <c r="N872" s="70"/>
      <c r="O872" s="78" t="s">
        <v>305</v>
      </c>
      <c r="P872" s="78" t="s">
        <v>560</v>
      </c>
      <c r="Q872" s="78" t="s">
        <v>1095</v>
      </c>
      <c r="R872" s="78" t="s">
        <v>1546</v>
      </c>
      <c r="S872" s="78"/>
      <c r="T872" s="78"/>
      <c r="U872" s="78"/>
      <c r="V872" s="78"/>
      <c r="W872" s="81" t="s">
        <v>1674</v>
      </c>
      <c r="X872" s="81" t="s">
        <v>1674</v>
      </c>
      <c r="Y872" s="78"/>
      <c r="Z872" s="78"/>
      <c r="AA872" s="81" t="s">
        <v>1674</v>
      </c>
      <c r="AB872" s="79">
        <v>2</v>
      </c>
      <c r="AC872" s="80" t="str">
        <f>REPLACE(INDEX(GroupVertices[Group],MATCH("~"&amp;Edges[[#This Row],[Vertex 1]],GroupVertices[Vertex],0)),1,1,"")</f>
        <v>1</v>
      </c>
      <c r="AD872" s="80" t="str">
        <f>REPLACE(INDEX(GroupVertices[Group],MATCH("~"&amp;Edges[[#This Row],[Vertex 2]],GroupVertices[Vertex],0)),1,1,"")</f>
        <v>1</v>
      </c>
      <c r="AE872" s="105"/>
      <c r="AF872" s="105"/>
      <c r="AG872" s="105"/>
      <c r="AH872" s="105"/>
      <c r="AI872" s="105"/>
      <c r="AJ872" s="105"/>
      <c r="AK872" s="105"/>
      <c r="AL872" s="105"/>
      <c r="AM872" s="105"/>
    </row>
    <row r="873" spans="1:39" ht="15">
      <c r="A873" s="62" t="s">
        <v>277</v>
      </c>
      <c r="B873" s="62" t="s">
        <v>235</v>
      </c>
      <c r="C873" s="63" t="s">
        <v>3598</v>
      </c>
      <c r="D873" s="64">
        <v>5.2631578947368425</v>
      </c>
      <c r="E873" s="65" t="s">
        <v>136</v>
      </c>
      <c r="F873" s="66">
        <v>31.50943396226415</v>
      </c>
      <c r="G873" s="63"/>
      <c r="H873" s="67"/>
      <c r="I873" s="68"/>
      <c r="J873" s="68"/>
      <c r="K873" s="31" t="s">
        <v>65</v>
      </c>
      <c r="L873" s="76">
        <v>873</v>
      </c>
      <c r="M873" s="76"/>
      <c r="N873" s="70"/>
      <c r="O873" s="78" t="s">
        <v>305</v>
      </c>
      <c r="P873" s="78" t="s">
        <v>501</v>
      </c>
      <c r="Q873" s="78" t="s">
        <v>1002</v>
      </c>
      <c r="R873" s="78" t="s">
        <v>995</v>
      </c>
      <c r="S873" s="78"/>
      <c r="T873" s="78"/>
      <c r="U873" s="78"/>
      <c r="V873" s="78"/>
      <c r="W873" s="81" t="s">
        <v>1674</v>
      </c>
      <c r="X873" s="81" t="s">
        <v>1674</v>
      </c>
      <c r="Y873" s="78"/>
      <c r="Z873" s="78"/>
      <c r="AA873" s="81" t="s">
        <v>1674</v>
      </c>
      <c r="AB873" s="79">
        <v>2</v>
      </c>
      <c r="AC873" s="80" t="str">
        <f>REPLACE(INDEX(GroupVertices[Group],MATCH("~"&amp;Edges[[#This Row],[Vertex 1]],GroupVertices[Vertex],0)),1,1,"")</f>
        <v>1</v>
      </c>
      <c r="AD873" s="80" t="str">
        <f>REPLACE(INDEX(GroupVertices[Group],MATCH("~"&amp;Edges[[#This Row],[Vertex 2]],GroupVertices[Vertex],0)),1,1,"")</f>
        <v>1</v>
      </c>
      <c r="AE873" s="105"/>
      <c r="AF873" s="105"/>
      <c r="AG873" s="105"/>
      <c r="AH873" s="105"/>
      <c r="AI873" s="105"/>
      <c r="AJ873" s="105"/>
      <c r="AK873" s="105"/>
      <c r="AL873" s="105"/>
      <c r="AM873" s="105"/>
    </row>
    <row r="874" spans="1:39" ht="15">
      <c r="A874" s="62" t="s">
        <v>277</v>
      </c>
      <c r="B874" s="62" t="s">
        <v>235</v>
      </c>
      <c r="C874" s="63" t="s">
        <v>3598</v>
      </c>
      <c r="D874" s="64">
        <v>5.2631578947368425</v>
      </c>
      <c r="E874" s="65" t="s">
        <v>136</v>
      </c>
      <c r="F874" s="66">
        <v>31.50943396226415</v>
      </c>
      <c r="G874" s="63"/>
      <c r="H874" s="67"/>
      <c r="I874" s="68"/>
      <c r="J874" s="68"/>
      <c r="K874" s="31" t="s">
        <v>65</v>
      </c>
      <c r="L874" s="76">
        <v>874</v>
      </c>
      <c r="M874" s="76"/>
      <c r="N874" s="70"/>
      <c r="O874" s="78" t="s">
        <v>305</v>
      </c>
      <c r="P874" s="78" t="s">
        <v>479</v>
      </c>
      <c r="Q874" s="78" t="s">
        <v>956</v>
      </c>
      <c r="R874" s="78" t="s">
        <v>956</v>
      </c>
      <c r="S874" s="78"/>
      <c r="T874" s="78"/>
      <c r="U874" s="78"/>
      <c r="V874" s="78"/>
      <c r="W874" s="81" t="s">
        <v>1674</v>
      </c>
      <c r="X874" s="81" t="s">
        <v>1674</v>
      </c>
      <c r="Y874" s="78"/>
      <c r="Z874" s="78"/>
      <c r="AA874" s="81" t="s">
        <v>1674</v>
      </c>
      <c r="AB874" s="79">
        <v>2</v>
      </c>
      <c r="AC874" s="80" t="str">
        <f>REPLACE(INDEX(GroupVertices[Group],MATCH("~"&amp;Edges[[#This Row],[Vertex 1]],GroupVertices[Vertex],0)),1,1,"")</f>
        <v>1</v>
      </c>
      <c r="AD874" s="80" t="str">
        <f>REPLACE(INDEX(GroupVertices[Group],MATCH("~"&amp;Edges[[#This Row],[Vertex 2]],GroupVertices[Vertex],0)),1,1,"")</f>
        <v>1</v>
      </c>
      <c r="AE874" s="105"/>
      <c r="AF874" s="105"/>
      <c r="AG874" s="105"/>
      <c r="AH874" s="105"/>
      <c r="AI874" s="105"/>
      <c r="AJ874" s="105"/>
      <c r="AK874" s="105"/>
      <c r="AL874" s="105"/>
      <c r="AM874" s="105"/>
    </row>
    <row r="875" spans="1:39" ht="15">
      <c r="A875" s="62" t="s">
        <v>279</v>
      </c>
      <c r="B875" s="62" t="s">
        <v>235</v>
      </c>
      <c r="C875" s="63" t="s">
        <v>3598</v>
      </c>
      <c r="D875" s="64">
        <v>5</v>
      </c>
      <c r="E875" s="65" t="s">
        <v>132</v>
      </c>
      <c r="F875" s="66">
        <v>32</v>
      </c>
      <c r="G875" s="63"/>
      <c r="H875" s="67"/>
      <c r="I875" s="68"/>
      <c r="J875" s="68"/>
      <c r="K875" s="31" t="s">
        <v>65</v>
      </c>
      <c r="L875" s="76">
        <v>875</v>
      </c>
      <c r="M875" s="76"/>
      <c r="N875" s="70"/>
      <c r="O875" s="78" t="s">
        <v>305</v>
      </c>
      <c r="P875" s="78" t="s">
        <v>479</v>
      </c>
      <c r="Q875" s="78" t="s">
        <v>955</v>
      </c>
      <c r="R875" s="78" t="s">
        <v>956</v>
      </c>
      <c r="S875" s="78"/>
      <c r="T875" s="78"/>
      <c r="U875" s="78"/>
      <c r="V875" s="78"/>
      <c r="W875" s="81" t="s">
        <v>1674</v>
      </c>
      <c r="X875" s="81" t="s">
        <v>1674</v>
      </c>
      <c r="Y875" s="78"/>
      <c r="Z875" s="78"/>
      <c r="AA875" s="81" t="s">
        <v>1674</v>
      </c>
      <c r="AB875" s="79">
        <v>1</v>
      </c>
      <c r="AC875" s="80" t="str">
        <f>REPLACE(INDEX(GroupVertices[Group],MATCH("~"&amp;Edges[[#This Row],[Vertex 1]],GroupVertices[Vertex],0)),1,1,"")</f>
        <v>3</v>
      </c>
      <c r="AD875" s="80" t="str">
        <f>REPLACE(INDEX(GroupVertices[Group],MATCH("~"&amp;Edges[[#This Row],[Vertex 2]],GroupVertices[Vertex],0)),1,1,"")</f>
        <v>1</v>
      </c>
      <c r="AE875" s="105"/>
      <c r="AF875" s="105"/>
      <c r="AG875" s="105"/>
      <c r="AH875" s="105"/>
      <c r="AI875" s="105"/>
      <c r="AJ875" s="105"/>
      <c r="AK875" s="105"/>
      <c r="AL875" s="105"/>
      <c r="AM875" s="105"/>
    </row>
    <row r="876" spans="1:39" ht="15">
      <c r="A876" s="62" t="s">
        <v>280</v>
      </c>
      <c r="B876" s="62" t="s">
        <v>235</v>
      </c>
      <c r="C876" s="63" t="s">
        <v>3602</v>
      </c>
      <c r="D876" s="64">
        <v>5.526315789473684</v>
      </c>
      <c r="E876" s="65" t="s">
        <v>136</v>
      </c>
      <c r="F876" s="66">
        <v>31.0188679245283</v>
      </c>
      <c r="G876" s="63"/>
      <c r="H876" s="67"/>
      <c r="I876" s="68"/>
      <c r="J876" s="68"/>
      <c r="K876" s="31" t="s">
        <v>65</v>
      </c>
      <c r="L876" s="76">
        <v>876</v>
      </c>
      <c r="M876" s="76"/>
      <c r="N876" s="70"/>
      <c r="O876" s="78" t="s">
        <v>305</v>
      </c>
      <c r="P876" s="78" t="s">
        <v>561</v>
      </c>
      <c r="Q876" s="78" t="s">
        <v>1096</v>
      </c>
      <c r="R876" s="78" t="s">
        <v>1096</v>
      </c>
      <c r="S876" s="78" t="s">
        <v>1654</v>
      </c>
      <c r="T876" s="78" t="s">
        <v>1654</v>
      </c>
      <c r="U876" s="78" t="s">
        <v>1670</v>
      </c>
      <c r="V876" s="78" t="s">
        <v>1670</v>
      </c>
      <c r="W876" s="81" t="s">
        <v>1674</v>
      </c>
      <c r="X876" s="81" t="s">
        <v>1674</v>
      </c>
      <c r="Y876" s="78" t="s">
        <v>1691</v>
      </c>
      <c r="Z876" s="78" t="s">
        <v>1669</v>
      </c>
      <c r="AA876" s="81" t="s">
        <v>1674</v>
      </c>
      <c r="AB876" s="79">
        <v>3</v>
      </c>
      <c r="AC876" s="80" t="str">
        <f>REPLACE(INDEX(GroupVertices[Group],MATCH("~"&amp;Edges[[#This Row],[Vertex 1]],GroupVertices[Vertex],0)),1,1,"")</f>
        <v>3</v>
      </c>
      <c r="AD876" s="80" t="str">
        <f>REPLACE(INDEX(GroupVertices[Group],MATCH("~"&amp;Edges[[#This Row],[Vertex 2]],GroupVertices[Vertex],0)),1,1,"")</f>
        <v>1</v>
      </c>
      <c r="AE876" s="105"/>
      <c r="AF876" s="105"/>
      <c r="AG876" s="105"/>
      <c r="AH876" s="105"/>
      <c r="AI876" s="105"/>
      <c r="AJ876" s="105"/>
      <c r="AK876" s="105"/>
      <c r="AL876" s="105"/>
      <c r="AM876" s="105"/>
    </row>
    <row r="877" spans="1:39" ht="15">
      <c r="A877" s="62" t="s">
        <v>280</v>
      </c>
      <c r="B877" s="62" t="s">
        <v>235</v>
      </c>
      <c r="C877" s="63" t="s">
        <v>3602</v>
      </c>
      <c r="D877" s="64">
        <v>5.526315789473684</v>
      </c>
      <c r="E877" s="65" t="s">
        <v>136</v>
      </c>
      <c r="F877" s="66">
        <v>31.0188679245283</v>
      </c>
      <c r="G877" s="63"/>
      <c r="H877" s="67"/>
      <c r="I877" s="68"/>
      <c r="J877" s="68"/>
      <c r="K877" s="31" t="s">
        <v>65</v>
      </c>
      <c r="L877" s="76">
        <v>877</v>
      </c>
      <c r="M877" s="76"/>
      <c r="N877" s="70"/>
      <c r="O877" s="78" t="s">
        <v>305</v>
      </c>
      <c r="P877" s="78" t="s">
        <v>479</v>
      </c>
      <c r="Q877" s="78" t="s">
        <v>956</v>
      </c>
      <c r="R877" s="78" t="s">
        <v>956</v>
      </c>
      <c r="S877" s="78"/>
      <c r="T877" s="78"/>
      <c r="U877" s="78"/>
      <c r="V877" s="78"/>
      <c r="W877" s="81" t="s">
        <v>1674</v>
      </c>
      <c r="X877" s="81" t="s">
        <v>1674</v>
      </c>
      <c r="Y877" s="78"/>
      <c r="Z877" s="78"/>
      <c r="AA877" s="81" t="s">
        <v>1674</v>
      </c>
      <c r="AB877" s="79">
        <v>3</v>
      </c>
      <c r="AC877" s="80" t="str">
        <f>REPLACE(INDEX(GroupVertices[Group],MATCH("~"&amp;Edges[[#This Row],[Vertex 1]],GroupVertices[Vertex],0)),1,1,"")</f>
        <v>3</v>
      </c>
      <c r="AD877" s="80" t="str">
        <f>REPLACE(INDEX(GroupVertices[Group],MATCH("~"&amp;Edges[[#This Row],[Vertex 2]],GroupVertices[Vertex],0)),1,1,"")</f>
        <v>1</v>
      </c>
      <c r="AE877" s="105"/>
      <c r="AF877" s="105"/>
      <c r="AG877" s="105"/>
      <c r="AH877" s="105"/>
      <c r="AI877" s="105"/>
      <c r="AJ877" s="105"/>
      <c r="AK877" s="105"/>
      <c r="AL877" s="105"/>
      <c r="AM877" s="105"/>
    </row>
    <row r="878" spans="1:39" ht="15">
      <c r="A878" s="62" t="s">
        <v>280</v>
      </c>
      <c r="B878" s="62" t="s">
        <v>235</v>
      </c>
      <c r="C878" s="63" t="s">
        <v>3602</v>
      </c>
      <c r="D878" s="64">
        <v>5.526315789473684</v>
      </c>
      <c r="E878" s="65" t="s">
        <v>136</v>
      </c>
      <c r="F878" s="66">
        <v>31.0188679245283</v>
      </c>
      <c r="G878" s="63"/>
      <c r="H878" s="67"/>
      <c r="I878" s="68"/>
      <c r="J878" s="68"/>
      <c r="K878" s="31" t="s">
        <v>65</v>
      </c>
      <c r="L878" s="76">
        <v>878</v>
      </c>
      <c r="M878" s="76"/>
      <c r="N878" s="70"/>
      <c r="O878" s="78" t="s">
        <v>305</v>
      </c>
      <c r="P878" s="78" t="s">
        <v>533</v>
      </c>
      <c r="Q878" s="78" t="s">
        <v>1068</v>
      </c>
      <c r="R878" s="78" t="s">
        <v>1066</v>
      </c>
      <c r="S878" s="78"/>
      <c r="T878" s="78"/>
      <c r="U878" s="78"/>
      <c r="V878" s="78"/>
      <c r="W878" s="81" t="s">
        <v>1674</v>
      </c>
      <c r="X878" s="81" t="s">
        <v>1674</v>
      </c>
      <c r="Y878" s="78"/>
      <c r="Z878" s="78"/>
      <c r="AA878" s="81" t="s">
        <v>1674</v>
      </c>
      <c r="AB878" s="79">
        <v>3</v>
      </c>
      <c r="AC878" s="80" t="str">
        <f>REPLACE(INDEX(GroupVertices[Group],MATCH("~"&amp;Edges[[#This Row],[Vertex 1]],GroupVertices[Vertex],0)),1,1,"")</f>
        <v>3</v>
      </c>
      <c r="AD878" s="80" t="str">
        <f>REPLACE(INDEX(GroupVertices[Group],MATCH("~"&amp;Edges[[#This Row],[Vertex 2]],GroupVertices[Vertex],0)),1,1,"")</f>
        <v>1</v>
      </c>
      <c r="AE878" s="105"/>
      <c r="AF878" s="105"/>
      <c r="AG878" s="105"/>
      <c r="AH878" s="105"/>
      <c r="AI878" s="105"/>
      <c r="AJ878" s="105"/>
      <c r="AK878" s="105"/>
      <c r="AL878" s="105"/>
      <c r="AM878" s="105"/>
    </row>
    <row r="879" spans="1:39" ht="15">
      <c r="A879" s="62" t="s">
        <v>284</v>
      </c>
      <c r="B879" s="62" t="s">
        <v>235</v>
      </c>
      <c r="C879" s="63" t="s">
        <v>3598</v>
      </c>
      <c r="D879" s="64">
        <v>5</v>
      </c>
      <c r="E879" s="65" t="s">
        <v>132</v>
      </c>
      <c r="F879" s="66">
        <v>32</v>
      </c>
      <c r="G879" s="63"/>
      <c r="H879" s="67"/>
      <c r="I879" s="68"/>
      <c r="J879" s="68"/>
      <c r="K879" s="31" t="s">
        <v>65</v>
      </c>
      <c r="L879" s="76">
        <v>879</v>
      </c>
      <c r="M879" s="76"/>
      <c r="N879" s="70"/>
      <c r="O879" s="78" t="s">
        <v>305</v>
      </c>
      <c r="P879" s="78" t="s">
        <v>501</v>
      </c>
      <c r="Q879" s="78" t="s">
        <v>1002</v>
      </c>
      <c r="R879" s="78" t="s">
        <v>995</v>
      </c>
      <c r="S879" s="78"/>
      <c r="T879" s="78"/>
      <c r="U879" s="78"/>
      <c r="V879" s="78"/>
      <c r="W879" s="81" t="s">
        <v>1674</v>
      </c>
      <c r="X879" s="81" t="s">
        <v>1674</v>
      </c>
      <c r="Y879" s="78"/>
      <c r="Z879" s="78"/>
      <c r="AA879" s="81" t="s">
        <v>1674</v>
      </c>
      <c r="AB879" s="79">
        <v>1</v>
      </c>
      <c r="AC879" s="80" t="str">
        <f>REPLACE(INDEX(GroupVertices[Group],MATCH("~"&amp;Edges[[#This Row],[Vertex 1]],GroupVertices[Vertex],0)),1,1,"")</f>
        <v>1</v>
      </c>
      <c r="AD879" s="80" t="str">
        <f>REPLACE(INDEX(GroupVertices[Group],MATCH("~"&amp;Edges[[#This Row],[Vertex 2]],GroupVertices[Vertex],0)),1,1,"")</f>
        <v>1</v>
      </c>
      <c r="AE879" s="105"/>
      <c r="AF879" s="105"/>
      <c r="AG879" s="105"/>
      <c r="AH879" s="105"/>
      <c r="AI879" s="105"/>
      <c r="AJ879" s="105"/>
      <c r="AK879" s="105"/>
      <c r="AL879" s="105"/>
      <c r="AM879" s="105"/>
    </row>
    <row r="880" spans="1:39" ht="15">
      <c r="A880" s="62" t="s">
        <v>285</v>
      </c>
      <c r="B880" s="62" t="s">
        <v>235</v>
      </c>
      <c r="C880" s="63" t="s">
        <v>3598</v>
      </c>
      <c r="D880" s="64">
        <v>5</v>
      </c>
      <c r="E880" s="65" t="s">
        <v>132</v>
      </c>
      <c r="F880" s="66">
        <v>32</v>
      </c>
      <c r="G880" s="63"/>
      <c r="H880" s="67"/>
      <c r="I880" s="68"/>
      <c r="J880" s="68"/>
      <c r="K880" s="31" t="s">
        <v>65</v>
      </c>
      <c r="L880" s="76">
        <v>880</v>
      </c>
      <c r="M880" s="76"/>
      <c r="N880" s="70"/>
      <c r="O880" s="78" t="s">
        <v>305</v>
      </c>
      <c r="P880" s="78" t="s">
        <v>533</v>
      </c>
      <c r="Q880" s="78" t="s">
        <v>1069</v>
      </c>
      <c r="R880" s="78" t="s">
        <v>1066</v>
      </c>
      <c r="S880" s="78"/>
      <c r="T880" s="78"/>
      <c r="U880" s="78"/>
      <c r="V880" s="78"/>
      <c r="W880" s="81" t="s">
        <v>1674</v>
      </c>
      <c r="X880" s="81" t="s">
        <v>1674</v>
      </c>
      <c r="Y880" s="78"/>
      <c r="Z880" s="78"/>
      <c r="AA880" s="81" t="s">
        <v>1674</v>
      </c>
      <c r="AB880" s="79">
        <v>1</v>
      </c>
      <c r="AC880" s="80" t="str">
        <f>REPLACE(INDEX(GroupVertices[Group],MATCH("~"&amp;Edges[[#This Row],[Vertex 1]],GroupVertices[Vertex],0)),1,1,"")</f>
        <v>1</v>
      </c>
      <c r="AD880" s="80" t="str">
        <f>REPLACE(INDEX(GroupVertices[Group],MATCH("~"&amp;Edges[[#This Row],[Vertex 2]],GroupVertices[Vertex],0)),1,1,"")</f>
        <v>1</v>
      </c>
      <c r="AE880" s="105"/>
      <c r="AF880" s="105"/>
      <c r="AG880" s="105"/>
      <c r="AH880" s="105"/>
      <c r="AI880" s="105"/>
      <c r="AJ880" s="105"/>
      <c r="AK880" s="105"/>
      <c r="AL880" s="105"/>
      <c r="AM880" s="105"/>
    </row>
    <row r="881" spans="1:39" ht="15">
      <c r="A881" s="62" t="s">
        <v>285</v>
      </c>
      <c r="B881" s="62" t="s">
        <v>294</v>
      </c>
      <c r="C881" s="63" t="s">
        <v>3598</v>
      </c>
      <c r="D881" s="64">
        <v>5</v>
      </c>
      <c r="E881" s="65" t="s">
        <v>132</v>
      </c>
      <c r="F881" s="66">
        <v>32</v>
      </c>
      <c r="G881" s="63"/>
      <c r="H881" s="67"/>
      <c r="I881" s="68"/>
      <c r="J881" s="68"/>
      <c r="K881" s="31" t="s">
        <v>65</v>
      </c>
      <c r="L881" s="76">
        <v>881</v>
      </c>
      <c r="M881" s="76"/>
      <c r="N881" s="70"/>
      <c r="O881" s="78" t="s">
        <v>305</v>
      </c>
      <c r="P881" s="78" t="s">
        <v>533</v>
      </c>
      <c r="Q881" s="78" t="s">
        <v>1069</v>
      </c>
      <c r="R881" s="78" t="s">
        <v>1515</v>
      </c>
      <c r="S881" s="78"/>
      <c r="T881" s="78"/>
      <c r="U881" s="78"/>
      <c r="V881" s="78"/>
      <c r="W881" s="81" t="s">
        <v>1674</v>
      </c>
      <c r="X881" s="81" t="s">
        <v>1674</v>
      </c>
      <c r="Y881" s="78"/>
      <c r="Z881" s="78"/>
      <c r="AA881" s="81" t="s">
        <v>1674</v>
      </c>
      <c r="AB881" s="79">
        <v>1</v>
      </c>
      <c r="AC881" s="80" t="str">
        <f>REPLACE(INDEX(GroupVertices[Group],MATCH("~"&amp;Edges[[#This Row],[Vertex 1]],GroupVertices[Vertex],0)),1,1,"")</f>
        <v>1</v>
      </c>
      <c r="AD881" s="80" t="str">
        <f>REPLACE(INDEX(GroupVertices[Group],MATCH("~"&amp;Edges[[#This Row],[Vertex 2]],GroupVertices[Vertex],0)),1,1,"")</f>
        <v>2</v>
      </c>
      <c r="AE881" s="105"/>
      <c r="AF881" s="105"/>
      <c r="AG881" s="105"/>
      <c r="AH881" s="105"/>
      <c r="AI881" s="105"/>
      <c r="AJ881" s="105"/>
      <c r="AK881" s="105"/>
      <c r="AL881" s="105"/>
      <c r="AM881" s="105"/>
    </row>
    <row r="882" spans="1:39" ht="15">
      <c r="A882" s="62" t="s">
        <v>285</v>
      </c>
      <c r="B882" s="62" t="s">
        <v>250</v>
      </c>
      <c r="C882" s="63" t="s">
        <v>3598</v>
      </c>
      <c r="D882" s="64">
        <v>5</v>
      </c>
      <c r="E882" s="65" t="s">
        <v>132</v>
      </c>
      <c r="F882" s="66">
        <v>32</v>
      </c>
      <c r="G882" s="63"/>
      <c r="H882" s="67"/>
      <c r="I882" s="68"/>
      <c r="J882" s="68"/>
      <c r="K882" s="31" t="s">
        <v>65</v>
      </c>
      <c r="L882" s="76">
        <v>882</v>
      </c>
      <c r="M882" s="76"/>
      <c r="N882" s="70"/>
      <c r="O882" s="78" t="s">
        <v>305</v>
      </c>
      <c r="P882" s="78" t="s">
        <v>562</v>
      </c>
      <c r="Q882" s="78" t="s">
        <v>1097</v>
      </c>
      <c r="R882" s="78" t="s">
        <v>1547</v>
      </c>
      <c r="S882" s="78"/>
      <c r="T882" s="78"/>
      <c r="U882" s="78"/>
      <c r="V882" s="78"/>
      <c r="W882" s="81" t="s">
        <v>1674</v>
      </c>
      <c r="X882" s="81" t="s">
        <v>1674</v>
      </c>
      <c r="Y882" s="78"/>
      <c r="Z882" s="78"/>
      <c r="AA882" s="81" t="s">
        <v>1674</v>
      </c>
      <c r="AB882" s="79">
        <v>1</v>
      </c>
      <c r="AC882" s="80" t="str">
        <f>REPLACE(INDEX(GroupVertices[Group],MATCH("~"&amp;Edges[[#This Row],[Vertex 1]],GroupVertices[Vertex],0)),1,1,"")</f>
        <v>1</v>
      </c>
      <c r="AD882" s="80" t="str">
        <f>REPLACE(INDEX(GroupVertices[Group],MATCH("~"&amp;Edges[[#This Row],[Vertex 2]],GroupVertices[Vertex],0)),1,1,"")</f>
        <v>1</v>
      </c>
      <c r="AE882" s="105"/>
      <c r="AF882" s="105"/>
      <c r="AG882" s="105"/>
      <c r="AH882" s="105"/>
      <c r="AI882" s="105"/>
      <c r="AJ882" s="105"/>
      <c r="AK882" s="105"/>
      <c r="AL882" s="105"/>
      <c r="AM882" s="105"/>
    </row>
    <row r="883" spans="1:39" ht="15">
      <c r="A883" s="62" t="s">
        <v>285</v>
      </c>
      <c r="B883" s="62" t="s">
        <v>245</v>
      </c>
      <c r="C883" s="63" t="s">
        <v>3598</v>
      </c>
      <c r="D883" s="64">
        <v>5</v>
      </c>
      <c r="E883" s="65" t="s">
        <v>132</v>
      </c>
      <c r="F883" s="66">
        <v>32</v>
      </c>
      <c r="G883" s="63"/>
      <c r="H883" s="67"/>
      <c r="I883" s="68"/>
      <c r="J883" s="68"/>
      <c r="K883" s="31" t="s">
        <v>65</v>
      </c>
      <c r="L883" s="76">
        <v>883</v>
      </c>
      <c r="M883" s="76"/>
      <c r="N883" s="70"/>
      <c r="O883" s="78" t="s">
        <v>305</v>
      </c>
      <c r="P883" s="78" t="s">
        <v>563</v>
      </c>
      <c r="Q883" s="78" t="s">
        <v>1098</v>
      </c>
      <c r="R883" s="78" t="s">
        <v>1548</v>
      </c>
      <c r="S883" s="78"/>
      <c r="T883" s="78"/>
      <c r="U883" s="78"/>
      <c r="V883" s="78"/>
      <c r="W883" s="81" t="s">
        <v>1674</v>
      </c>
      <c r="X883" s="81" t="s">
        <v>1674</v>
      </c>
      <c r="Y883" s="78"/>
      <c r="Z883" s="78"/>
      <c r="AA883" s="81" t="s">
        <v>1674</v>
      </c>
      <c r="AB883" s="79">
        <v>1</v>
      </c>
      <c r="AC883" s="80" t="str">
        <f>REPLACE(INDEX(GroupVertices[Group],MATCH("~"&amp;Edges[[#This Row],[Vertex 1]],GroupVertices[Vertex],0)),1,1,"")</f>
        <v>1</v>
      </c>
      <c r="AD883" s="80" t="str">
        <f>REPLACE(INDEX(GroupVertices[Group],MATCH("~"&amp;Edges[[#This Row],[Vertex 2]],GroupVertices[Vertex],0)),1,1,"")</f>
        <v>1</v>
      </c>
      <c r="AE883" s="105"/>
      <c r="AF883" s="105"/>
      <c r="AG883" s="105"/>
      <c r="AH883" s="105"/>
      <c r="AI883" s="105"/>
      <c r="AJ883" s="105"/>
      <c r="AK883" s="105"/>
      <c r="AL883" s="105"/>
      <c r="AM883" s="105"/>
    </row>
    <row r="884" spans="1:39" ht="15">
      <c r="A884" s="62" t="s">
        <v>285</v>
      </c>
      <c r="B884" s="62" t="s">
        <v>260</v>
      </c>
      <c r="C884" s="63" t="s">
        <v>3597</v>
      </c>
      <c r="D884" s="64">
        <v>6.578947368421053</v>
      </c>
      <c r="E884" s="65" t="s">
        <v>136</v>
      </c>
      <c r="F884" s="66">
        <v>29.056603773584907</v>
      </c>
      <c r="G884" s="63"/>
      <c r="H884" s="67"/>
      <c r="I884" s="68"/>
      <c r="J884" s="68"/>
      <c r="K884" s="31" t="s">
        <v>65</v>
      </c>
      <c r="L884" s="76">
        <v>884</v>
      </c>
      <c r="M884" s="76"/>
      <c r="N884" s="70"/>
      <c r="O884" s="78" t="s">
        <v>305</v>
      </c>
      <c r="P884" s="78" t="s">
        <v>564</v>
      </c>
      <c r="Q884" s="78" t="s">
        <v>1099</v>
      </c>
      <c r="R884" s="78" t="s">
        <v>1549</v>
      </c>
      <c r="S884" s="78"/>
      <c r="T884" s="78"/>
      <c r="U884" s="78"/>
      <c r="V884" s="78"/>
      <c r="W884" s="81" t="s">
        <v>1674</v>
      </c>
      <c r="X884" s="81" t="s">
        <v>1674</v>
      </c>
      <c r="Y884" s="78"/>
      <c r="Z884" s="78"/>
      <c r="AA884" s="81" t="s">
        <v>1674</v>
      </c>
      <c r="AB884" s="79">
        <v>7</v>
      </c>
      <c r="AC884" s="80" t="str">
        <f>REPLACE(INDEX(GroupVertices[Group],MATCH("~"&amp;Edges[[#This Row],[Vertex 1]],GroupVertices[Vertex],0)),1,1,"")</f>
        <v>1</v>
      </c>
      <c r="AD884" s="80" t="str">
        <f>REPLACE(INDEX(GroupVertices[Group],MATCH("~"&amp;Edges[[#This Row],[Vertex 2]],GroupVertices[Vertex],0)),1,1,"")</f>
        <v>1</v>
      </c>
      <c r="AE884" s="105"/>
      <c r="AF884" s="105"/>
      <c r="AG884" s="105"/>
      <c r="AH884" s="105"/>
      <c r="AI884" s="105"/>
      <c r="AJ884" s="105"/>
      <c r="AK884" s="105"/>
      <c r="AL884" s="105"/>
      <c r="AM884" s="105"/>
    </row>
    <row r="885" spans="1:39" ht="15">
      <c r="A885" s="62" t="s">
        <v>285</v>
      </c>
      <c r="B885" s="62" t="s">
        <v>260</v>
      </c>
      <c r="C885" s="63" t="s">
        <v>3597</v>
      </c>
      <c r="D885" s="64">
        <v>6.578947368421053</v>
      </c>
      <c r="E885" s="65" t="s">
        <v>136</v>
      </c>
      <c r="F885" s="66">
        <v>29.056603773584907</v>
      </c>
      <c r="G885" s="63"/>
      <c r="H885" s="67"/>
      <c r="I885" s="68"/>
      <c r="J885" s="68"/>
      <c r="K885" s="31" t="s">
        <v>65</v>
      </c>
      <c r="L885" s="76">
        <v>885</v>
      </c>
      <c r="M885" s="76"/>
      <c r="N885" s="70"/>
      <c r="O885" s="78" t="s">
        <v>305</v>
      </c>
      <c r="P885" s="78" t="s">
        <v>564</v>
      </c>
      <c r="Q885" s="78" t="s">
        <v>1099</v>
      </c>
      <c r="R885" s="78" t="s">
        <v>1550</v>
      </c>
      <c r="S885" s="78"/>
      <c r="T885" s="78"/>
      <c r="U885" s="78"/>
      <c r="V885" s="78"/>
      <c r="W885" s="81" t="s">
        <v>1674</v>
      </c>
      <c r="X885" s="81" t="s">
        <v>1674</v>
      </c>
      <c r="Y885" s="78"/>
      <c r="Z885" s="78"/>
      <c r="AA885" s="81" t="s">
        <v>1674</v>
      </c>
      <c r="AB885" s="79">
        <v>7</v>
      </c>
      <c r="AC885" s="80" t="str">
        <f>REPLACE(INDEX(GroupVertices[Group],MATCH("~"&amp;Edges[[#This Row],[Vertex 1]],GroupVertices[Vertex],0)),1,1,"")</f>
        <v>1</v>
      </c>
      <c r="AD885" s="80" t="str">
        <f>REPLACE(INDEX(GroupVertices[Group],MATCH("~"&amp;Edges[[#This Row],[Vertex 2]],GroupVertices[Vertex],0)),1,1,"")</f>
        <v>1</v>
      </c>
      <c r="AE885" s="105"/>
      <c r="AF885" s="105"/>
      <c r="AG885" s="105"/>
      <c r="AH885" s="105"/>
      <c r="AI885" s="105"/>
      <c r="AJ885" s="105"/>
      <c r="AK885" s="105"/>
      <c r="AL885" s="105"/>
      <c r="AM885" s="105"/>
    </row>
    <row r="886" spans="1:39" ht="15">
      <c r="A886" s="62" t="s">
        <v>285</v>
      </c>
      <c r="B886" s="62" t="s">
        <v>260</v>
      </c>
      <c r="C886" s="63" t="s">
        <v>3597</v>
      </c>
      <c r="D886" s="64">
        <v>6.578947368421053</v>
      </c>
      <c r="E886" s="65" t="s">
        <v>136</v>
      </c>
      <c r="F886" s="66">
        <v>29.056603773584907</v>
      </c>
      <c r="G886" s="63"/>
      <c r="H886" s="67"/>
      <c r="I886" s="68"/>
      <c r="J886" s="68"/>
      <c r="K886" s="31" t="s">
        <v>65</v>
      </c>
      <c r="L886" s="76">
        <v>886</v>
      </c>
      <c r="M886" s="76"/>
      <c r="N886" s="70"/>
      <c r="O886" s="78" t="s">
        <v>305</v>
      </c>
      <c r="P886" s="78" t="s">
        <v>564</v>
      </c>
      <c r="Q886" s="78" t="s">
        <v>1100</v>
      </c>
      <c r="R886" s="78" t="s">
        <v>1549</v>
      </c>
      <c r="S886" s="78"/>
      <c r="T886" s="78"/>
      <c r="U886" s="78"/>
      <c r="V886" s="78"/>
      <c r="W886" s="81" t="s">
        <v>1674</v>
      </c>
      <c r="X886" s="81" t="s">
        <v>1674</v>
      </c>
      <c r="Y886" s="78"/>
      <c r="Z886" s="78"/>
      <c r="AA886" s="81" t="s">
        <v>1674</v>
      </c>
      <c r="AB886" s="79">
        <v>7</v>
      </c>
      <c r="AC886" s="80" t="str">
        <f>REPLACE(INDEX(GroupVertices[Group],MATCH("~"&amp;Edges[[#This Row],[Vertex 1]],GroupVertices[Vertex],0)),1,1,"")</f>
        <v>1</v>
      </c>
      <c r="AD886" s="80" t="str">
        <f>REPLACE(INDEX(GroupVertices[Group],MATCH("~"&amp;Edges[[#This Row],[Vertex 2]],GroupVertices[Vertex],0)),1,1,"")</f>
        <v>1</v>
      </c>
      <c r="AE886" s="105"/>
      <c r="AF886" s="105"/>
      <c r="AG886" s="105"/>
      <c r="AH886" s="105"/>
      <c r="AI886" s="105"/>
      <c r="AJ886" s="105"/>
      <c r="AK886" s="105"/>
      <c r="AL886" s="105"/>
      <c r="AM886" s="105"/>
    </row>
    <row r="887" spans="1:39" ht="15">
      <c r="A887" s="62" t="s">
        <v>285</v>
      </c>
      <c r="B887" s="62" t="s">
        <v>260</v>
      </c>
      <c r="C887" s="63" t="s">
        <v>3597</v>
      </c>
      <c r="D887" s="64">
        <v>6.578947368421053</v>
      </c>
      <c r="E887" s="65" t="s">
        <v>136</v>
      </c>
      <c r="F887" s="66">
        <v>29.056603773584907</v>
      </c>
      <c r="G887" s="63"/>
      <c r="H887" s="67"/>
      <c r="I887" s="68"/>
      <c r="J887" s="68"/>
      <c r="K887" s="31" t="s">
        <v>65</v>
      </c>
      <c r="L887" s="76">
        <v>887</v>
      </c>
      <c r="M887" s="76"/>
      <c r="N887" s="70"/>
      <c r="O887" s="78" t="s">
        <v>305</v>
      </c>
      <c r="P887" s="78" t="s">
        <v>564</v>
      </c>
      <c r="Q887" s="78" t="s">
        <v>1100</v>
      </c>
      <c r="R887" s="78" t="s">
        <v>1550</v>
      </c>
      <c r="S887" s="78"/>
      <c r="T887" s="78"/>
      <c r="U887" s="78"/>
      <c r="V887" s="78"/>
      <c r="W887" s="81" t="s">
        <v>1674</v>
      </c>
      <c r="X887" s="81" t="s">
        <v>1674</v>
      </c>
      <c r="Y887" s="78"/>
      <c r="Z887" s="78"/>
      <c r="AA887" s="81" t="s">
        <v>1674</v>
      </c>
      <c r="AB887" s="79">
        <v>7</v>
      </c>
      <c r="AC887" s="80" t="str">
        <f>REPLACE(INDEX(GroupVertices[Group],MATCH("~"&amp;Edges[[#This Row],[Vertex 1]],GroupVertices[Vertex],0)),1,1,"")</f>
        <v>1</v>
      </c>
      <c r="AD887" s="80" t="str">
        <f>REPLACE(INDEX(GroupVertices[Group],MATCH("~"&amp;Edges[[#This Row],[Vertex 2]],GroupVertices[Vertex],0)),1,1,"")</f>
        <v>1</v>
      </c>
      <c r="AE887" s="105"/>
      <c r="AF887" s="105"/>
      <c r="AG887" s="105"/>
      <c r="AH887" s="105"/>
      <c r="AI887" s="105"/>
      <c r="AJ887" s="105"/>
      <c r="AK887" s="105"/>
      <c r="AL887" s="105"/>
      <c r="AM887" s="105"/>
    </row>
    <row r="888" spans="1:39" ht="15">
      <c r="A888" s="62" t="s">
        <v>285</v>
      </c>
      <c r="B888" s="62" t="s">
        <v>260</v>
      </c>
      <c r="C888" s="63" t="s">
        <v>3597</v>
      </c>
      <c r="D888" s="64">
        <v>6.578947368421053</v>
      </c>
      <c r="E888" s="65" t="s">
        <v>136</v>
      </c>
      <c r="F888" s="66">
        <v>29.056603773584907</v>
      </c>
      <c r="G888" s="63"/>
      <c r="H888" s="67"/>
      <c r="I888" s="68"/>
      <c r="J888" s="68"/>
      <c r="K888" s="31" t="s">
        <v>65</v>
      </c>
      <c r="L888" s="76">
        <v>888</v>
      </c>
      <c r="M888" s="76"/>
      <c r="N888" s="70"/>
      <c r="O888" s="78" t="s">
        <v>305</v>
      </c>
      <c r="P888" s="78" t="s">
        <v>565</v>
      </c>
      <c r="Q888" s="78" t="s">
        <v>1101</v>
      </c>
      <c r="R888" s="78" t="s">
        <v>1551</v>
      </c>
      <c r="S888" s="78"/>
      <c r="T888" s="78"/>
      <c r="U888" s="78"/>
      <c r="V888" s="78"/>
      <c r="W888" s="81" t="s">
        <v>1674</v>
      </c>
      <c r="X888" s="81" t="s">
        <v>1674</v>
      </c>
      <c r="Y888" s="78"/>
      <c r="Z888" s="78"/>
      <c r="AA888" s="81" t="s">
        <v>1674</v>
      </c>
      <c r="AB888" s="79">
        <v>7</v>
      </c>
      <c r="AC888" s="80" t="str">
        <f>REPLACE(INDEX(GroupVertices[Group],MATCH("~"&amp;Edges[[#This Row],[Vertex 1]],GroupVertices[Vertex],0)),1,1,"")</f>
        <v>1</v>
      </c>
      <c r="AD888" s="80" t="str">
        <f>REPLACE(INDEX(GroupVertices[Group],MATCH("~"&amp;Edges[[#This Row],[Vertex 2]],GroupVertices[Vertex],0)),1,1,"")</f>
        <v>1</v>
      </c>
      <c r="AE888" s="105"/>
      <c r="AF888" s="105"/>
      <c r="AG888" s="105"/>
      <c r="AH888" s="105"/>
      <c r="AI888" s="105"/>
      <c r="AJ888" s="105"/>
      <c r="AK888" s="105"/>
      <c r="AL888" s="105"/>
      <c r="AM888" s="105"/>
    </row>
    <row r="889" spans="1:39" ht="15">
      <c r="A889" s="62" t="s">
        <v>285</v>
      </c>
      <c r="B889" s="62" t="s">
        <v>260</v>
      </c>
      <c r="C889" s="63" t="s">
        <v>3597</v>
      </c>
      <c r="D889" s="64">
        <v>6.578947368421053</v>
      </c>
      <c r="E889" s="65" t="s">
        <v>136</v>
      </c>
      <c r="F889" s="66">
        <v>29.056603773584907</v>
      </c>
      <c r="G889" s="63"/>
      <c r="H889" s="67"/>
      <c r="I889" s="68"/>
      <c r="J889" s="68"/>
      <c r="K889" s="31" t="s">
        <v>65</v>
      </c>
      <c r="L889" s="76">
        <v>889</v>
      </c>
      <c r="M889" s="76"/>
      <c r="N889" s="70"/>
      <c r="O889" s="78" t="s">
        <v>305</v>
      </c>
      <c r="P889" s="78" t="s">
        <v>565</v>
      </c>
      <c r="Q889" s="78" t="s">
        <v>1101</v>
      </c>
      <c r="R889" s="78" t="s">
        <v>1552</v>
      </c>
      <c r="S889" s="78"/>
      <c r="T889" s="78"/>
      <c r="U889" s="78"/>
      <c r="V889" s="78"/>
      <c r="W889" s="81" t="s">
        <v>1674</v>
      </c>
      <c r="X889" s="81" t="s">
        <v>1674</v>
      </c>
      <c r="Y889" s="78"/>
      <c r="Z889" s="78"/>
      <c r="AA889" s="81" t="s">
        <v>1674</v>
      </c>
      <c r="AB889" s="79">
        <v>7</v>
      </c>
      <c r="AC889" s="80" t="str">
        <f>REPLACE(INDEX(GroupVertices[Group],MATCH("~"&amp;Edges[[#This Row],[Vertex 1]],GroupVertices[Vertex],0)),1,1,"")</f>
        <v>1</v>
      </c>
      <c r="AD889" s="80" t="str">
        <f>REPLACE(INDEX(GroupVertices[Group],MATCH("~"&amp;Edges[[#This Row],[Vertex 2]],GroupVertices[Vertex],0)),1,1,"")</f>
        <v>1</v>
      </c>
      <c r="AE889" s="105"/>
      <c r="AF889" s="105"/>
      <c r="AG889" s="105"/>
      <c r="AH889" s="105"/>
      <c r="AI889" s="105"/>
      <c r="AJ889" s="105"/>
      <c r="AK889" s="105"/>
      <c r="AL889" s="105"/>
      <c r="AM889" s="105"/>
    </row>
    <row r="890" spans="1:39" ht="15">
      <c r="A890" s="62" t="s">
        <v>285</v>
      </c>
      <c r="B890" s="62" t="s">
        <v>260</v>
      </c>
      <c r="C890" s="63" t="s">
        <v>3597</v>
      </c>
      <c r="D890" s="64">
        <v>6.578947368421053</v>
      </c>
      <c r="E890" s="65" t="s">
        <v>136</v>
      </c>
      <c r="F890" s="66">
        <v>29.056603773584907</v>
      </c>
      <c r="G890" s="63"/>
      <c r="H890" s="67"/>
      <c r="I890" s="68"/>
      <c r="J890" s="68"/>
      <c r="K890" s="31" t="s">
        <v>65</v>
      </c>
      <c r="L890" s="76">
        <v>890</v>
      </c>
      <c r="M890" s="76"/>
      <c r="N890" s="70"/>
      <c r="O890" s="78" t="s">
        <v>305</v>
      </c>
      <c r="P890" s="78" t="s">
        <v>562</v>
      </c>
      <c r="Q890" s="78" t="s">
        <v>1097</v>
      </c>
      <c r="R890" s="78" t="s">
        <v>1198</v>
      </c>
      <c r="S890" s="78"/>
      <c r="T890" s="78"/>
      <c r="U890" s="78"/>
      <c r="V890" s="78"/>
      <c r="W890" s="81" t="s">
        <v>1674</v>
      </c>
      <c r="X890" s="81" t="s">
        <v>1674</v>
      </c>
      <c r="Y890" s="78"/>
      <c r="Z890" s="78"/>
      <c r="AA890" s="81" t="s">
        <v>1674</v>
      </c>
      <c r="AB890" s="79">
        <v>7</v>
      </c>
      <c r="AC890" s="80" t="str">
        <f>REPLACE(INDEX(GroupVertices[Group],MATCH("~"&amp;Edges[[#This Row],[Vertex 1]],GroupVertices[Vertex],0)),1,1,"")</f>
        <v>1</v>
      </c>
      <c r="AD890" s="80" t="str">
        <f>REPLACE(INDEX(GroupVertices[Group],MATCH("~"&amp;Edges[[#This Row],[Vertex 2]],GroupVertices[Vertex],0)),1,1,"")</f>
        <v>1</v>
      </c>
      <c r="AE890" s="105"/>
      <c r="AF890" s="105"/>
      <c r="AG890" s="105"/>
      <c r="AH890" s="105"/>
      <c r="AI890" s="105"/>
      <c r="AJ890" s="105"/>
      <c r="AK890" s="105"/>
      <c r="AL890" s="105"/>
      <c r="AM890" s="105"/>
    </row>
    <row r="891" spans="1:39" ht="15">
      <c r="A891" s="62" t="s">
        <v>285</v>
      </c>
      <c r="B891" s="62" t="s">
        <v>280</v>
      </c>
      <c r="C891" s="63" t="s">
        <v>3598</v>
      </c>
      <c r="D891" s="64">
        <v>5</v>
      </c>
      <c r="E891" s="65" t="s">
        <v>132</v>
      </c>
      <c r="F891" s="66">
        <v>32</v>
      </c>
      <c r="G891" s="63"/>
      <c r="H891" s="67"/>
      <c r="I891" s="68"/>
      <c r="J891" s="68"/>
      <c r="K891" s="31" t="s">
        <v>65</v>
      </c>
      <c r="L891" s="76">
        <v>891</v>
      </c>
      <c r="M891" s="76"/>
      <c r="N891" s="70"/>
      <c r="O891" s="78" t="s">
        <v>305</v>
      </c>
      <c r="P891" s="78" t="s">
        <v>533</v>
      </c>
      <c r="Q891" s="78" t="s">
        <v>1069</v>
      </c>
      <c r="R891" s="78" t="s">
        <v>1068</v>
      </c>
      <c r="S891" s="78"/>
      <c r="T891" s="78"/>
      <c r="U891" s="78"/>
      <c r="V891" s="78"/>
      <c r="W891" s="81" t="s">
        <v>1674</v>
      </c>
      <c r="X891" s="81" t="s">
        <v>1674</v>
      </c>
      <c r="Y891" s="78"/>
      <c r="Z891" s="78"/>
      <c r="AA891" s="81" t="s">
        <v>1674</v>
      </c>
      <c r="AB891" s="79">
        <v>1</v>
      </c>
      <c r="AC891" s="80" t="str">
        <f>REPLACE(INDEX(GroupVertices[Group],MATCH("~"&amp;Edges[[#This Row],[Vertex 1]],GroupVertices[Vertex],0)),1,1,"")</f>
        <v>1</v>
      </c>
      <c r="AD891" s="80" t="str">
        <f>REPLACE(INDEX(GroupVertices[Group],MATCH("~"&amp;Edges[[#This Row],[Vertex 2]],GroupVertices[Vertex],0)),1,1,"")</f>
        <v>3</v>
      </c>
      <c r="AE891" s="105"/>
      <c r="AF891" s="105"/>
      <c r="AG891" s="105"/>
      <c r="AH891" s="105"/>
      <c r="AI891" s="105"/>
      <c r="AJ891" s="105"/>
      <c r="AK891" s="105"/>
      <c r="AL891" s="105"/>
      <c r="AM891" s="105"/>
    </row>
    <row r="892" spans="1:39" ht="15">
      <c r="A892" s="62" t="s">
        <v>282</v>
      </c>
      <c r="B892" s="62" t="s">
        <v>303</v>
      </c>
      <c r="C892" s="63" t="s">
        <v>3598</v>
      </c>
      <c r="D892" s="64">
        <v>5.2631578947368425</v>
      </c>
      <c r="E892" s="65" t="s">
        <v>136</v>
      </c>
      <c r="F892" s="66">
        <v>31.50943396226415</v>
      </c>
      <c r="G892" s="63"/>
      <c r="H892" s="67"/>
      <c r="I892" s="68"/>
      <c r="J892" s="68"/>
      <c r="K892" s="31" t="s">
        <v>65</v>
      </c>
      <c r="L892" s="76">
        <v>892</v>
      </c>
      <c r="M892" s="76"/>
      <c r="N892" s="70"/>
      <c r="O892" s="78" t="s">
        <v>305</v>
      </c>
      <c r="P892" s="78" t="s">
        <v>566</v>
      </c>
      <c r="Q892" s="78" t="s">
        <v>1102</v>
      </c>
      <c r="R892" s="78" t="s">
        <v>1553</v>
      </c>
      <c r="S892" s="78"/>
      <c r="T892" s="78"/>
      <c r="U892" s="78"/>
      <c r="V892" s="78"/>
      <c r="W892" s="81" t="s">
        <v>1674</v>
      </c>
      <c r="X892" s="81" t="s">
        <v>1674</v>
      </c>
      <c r="Y892" s="78"/>
      <c r="Z892" s="78"/>
      <c r="AA892" s="81" t="s">
        <v>1674</v>
      </c>
      <c r="AB892" s="79">
        <v>2</v>
      </c>
      <c r="AC892" s="80" t="str">
        <f>REPLACE(INDEX(GroupVertices[Group],MATCH("~"&amp;Edges[[#This Row],[Vertex 1]],GroupVertices[Vertex],0)),1,1,"")</f>
        <v>3</v>
      </c>
      <c r="AD892" s="80" t="str">
        <f>REPLACE(INDEX(GroupVertices[Group],MATCH("~"&amp;Edges[[#This Row],[Vertex 2]],GroupVertices[Vertex],0)),1,1,"")</f>
        <v>3</v>
      </c>
      <c r="AE892" s="105"/>
      <c r="AF892" s="105"/>
      <c r="AG892" s="105"/>
      <c r="AH892" s="105"/>
      <c r="AI892" s="105"/>
      <c r="AJ892" s="105"/>
      <c r="AK892" s="105"/>
      <c r="AL892" s="105"/>
      <c r="AM892" s="105"/>
    </row>
    <row r="893" spans="1:39" ht="15">
      <c r="A893" s="62" t="s">
        <v>282</v>
      </c>
      <c r="B893" s="62" t="s">
        <v>303</v>
      </c>
      <c r="C893" s="63" t="s">
        <v>3598</v>
      </c>
      <c r="D893" s="64">
        <v>5.2631578947368425</v>
      </c>
      <c r="E893" s="65" t="s">
        <v>136</v>
      </c>
      <c r="F893" s="66">
        <v>31.50943396226415</v>
      </c>
      <c r="G893" s="63"/>
      <c r="H893" s="67"/>
      <c r="I893" s="68"/>
      <c r="J893" s="68"/>
      <c r="K893" s="31" t="s">
        <v>65</v>
      </c>
      <c r="L893" s="76">
        <v>893</v>
      </c>
      <c r="M893" s="76"/>
      <c r="N893" s="70"/>
      <c r="O893" s="78" t="s">
        <v>305</v>
      </c>
      <c r="P893" s="78" t="s">
        <v>566</v>
      </c>
      <c r="Q893" s="78" t="s">
        <v>1103</v>
      </c>
      <c r="R893" s="78" t="s">
        <v>1553</v>
      </c>
      <c r="S893" s="78"/>
      <c r="T893" s="78"/>
      <c r="U893" s="78"/>
      <c r="V893" s="78"/>
      <c r="W893" s="81" t="s">
        <v>1674</v>
      </c>
      <c r="X893" s="81" t="s">
        <v>1674</v>
      </c>
      <c r="Y893" s="78"/>
      <c r="Z893" s="78"/>
      <c r="AA893" s="81" t="s">
        <v>1674</v>
      </c>
      <c r="AB893" s="79">
        <v>2</v>
      </c>
      <c r="AC893" s="80" t="str">
        <f>REPLACE(INDEX(GroupVertices[Group],MATCH("~"&amp;Edges[[#This Row],[Vertex 1]],GroupVertices[Vertex],0)),1,1,"")</f>
        <v>3</v>
      </c>
      <c r="AD893" s="80" t="str">
        <f>REPLACE(INDEX(GroupVertices[Group],MATCH("~"&amp;Edges[[#This Row],[Vertex 2]],GroupVertices[Vertex],0)),1,1,"")</f>
        <v>3</v>
      </c>
      <c r="AE893" s="105"/>
      <c r="AF893" s="105"/>
      <c r="AG893" s="105"/>
      <c r="AH893" s="105"/>
      <c r="AI893" s="105"/>
      <c r="AJ893" s="105"/>
      <c r="AK893" s="105"/>
      <c r="AL893" s="105"/>
      <c r="AM893" s="105"/>
    </row>
    <row r="894" spans="1:39" ht="15">
      <c r="A894" s="62" t="s">
        <v>282</v>
      </c>
      <c r="B894" s="62" t="s">
        <v>251</v>
      </c>
      <c r="C894" s="63" t="s">
        <v>3598</v>
      </c>
      <c r="D894" s="64">
        <v>5</v>
      </c>
      <c r="E894" s="65" t="s">
        <v>132</v>
      </c>
      <c r="F894" s="66">
        <v>32</v>
      </c>
      <c r="G894" s="63"/>
      <c r="H894" s="67"/>
      <c r="I894" s="68"/>
      <c r="J894" s="68"/>
      <c r="K894" s="31" t="s">
        <v>65</v>
      </c>
      <c r="L894" s="76">
        <v>894</v>
      </c>
      <c r="M894" s="76"/>
      <c r="N894" s="70"/>
      <c r="O894" s="78" t="s">
        <v>305</v>
      </c>
      <c r="P894" s="78" t="s">
        <v>567</v>
      </c>
      <c r="Q894" s="78" t="s">
        <v>1104</v>
      </c>
      <c r="R894" s="78" t="s">
        <v>1554</v>
      </c>
      <c r="S894" s="78"/>
      <c r="T894" s="78"/>
      <c r="U894" s="78"/>
      <c r="V894" s="78"/>
      <c r="W894" s="81" t="s">
        <v>1674</v>
      </c>
      <c r="X894" s="81" t="s">
        <v>1674</v>
      </c>
      <c r="Y894" s="78"/>
      <c r="Z894" s="78"/>
      <c r="AA894" s="81" t="s">
        <v>1674</v>
      </c>
      <c r="AB894" s="79">
        <v>1</v>
      </c>
      <c r="AC894" s="80" t="str">
        <f>REPLACE(INDEX(GroupVertices[Group],MATCH("~"&amp;Edges[[#This Row],[Vertex 1]],GroupVertices[Vertex],0)),1,1,"")</f>
        <v>3</v>
      </c>
      <c r="AD894" s="80" t="str">
        <f>REPLACE(INDEX(GroupVertices[Group],MATCH("~"&amp;Edges[[#This Row],[Vertex 2]],GroupVertices[Vertex],0)),1,1,"")</f>
        <v>3</v>
      </c>
      <c r="AE894" s="105"/>
      <c r="AF894" s="105"/>
      <c r="AG894" s="105"/>
      <c r="AH894" s="105"/>
      <c r="AI894" s="105"/>
      <c r="AJ894" s="105"/>
      <c r="AK894" s="105"/>
      <c r="AL894" s="105"/>
      <c r="AM894" s="105"/>
    </row>
    <row r="895" spans="1:39" ht="15">
      <c r="A895" s="62" t="s">
        <v>282</v>
      </c>
      <c r="B895" s="62" t="s">
        <v>243</v>
      </c>
      <c r="C895" s="63" t="s">
        <v>3598</v>
      </c>
      <c r="D895" s="64">
        <v>5.2631578947368425</v>
      </c>
      <c r="E895" s="65" t="s">
        <v>136</v>
      </c>
      <c r="F895" s="66">
        <v>31.50943396226415</v>
      </c>
      <c r="G895" s="63"/>
      <c r="H895" s="67"/>
      <c r="I895" s="68"/>
      <c r="J895" s="68"/>
      <c r="K895" s="31" t="s">
        <v>65</v>
      </c>
      <c r="L895" s="76">
        <v>895</v>
      </c>
      <c r="M895" s="76"/>
      <c r="N895" s="70"/>
      <c r="O895" s="78" t="s">
        <v>305</v>
      </c>
      <c r="P895" s="78" t="s">
        <v>566</v>
      </c>
      <c r="Q895" s="78" t="s">
        <v>1102</v>
      </c>
      <c r="R895" s="78" t="s">
        <v>1143</v>
      </c>
      <c r="S895" s="78"/>
      <c r="T895" s="78"/>
      <c r="U895" s="78"/>
      <c r="V895" s="78"/>
      <c r="W895" s="81" t="s">
        <v>1674</v>
      </c>
      <c r="X895" s="81" t="s">
        <v>1674</v>
      </c>
      <c r="Y895" s="78"/>
      <c r="Z895" s="78"/>
      <c r="AA895" s="81" t="s">
        <v>1674</v>
      </c>
      <c r="AB895" s="79">
        <v>2</v>
      </c>
      <c r="AC895" s="80" t="str">
        <f>REPLACE(INDEX(GroupVertices[Group],MATCH("~"&amp;Edges[[#This Row],[Vertex 1]],GroupVertices[Vertex],0)),1,1,"")</f>
        <v>3</v>
      </c>
      <c r="AD895" s="80" t="str">
        <f>REPLACE(INDEX(GroupVertices[Group],MATCH("~"&amp;Edges[[#This Row],[Vertex 2]],GroupVertices[Vertex],0)),1,1,"")</f>
        <v>5</v>
      </c>
      <c r="AE895" s="105"/>
      <c r="AF895" s="105"/>
      <c r="AG895" s="105"/>
      <c r="AH895" s="105"/>
      <c r="AI895" s="105"/>
      <c r="AJ895" s="105"/>
      <c r="AK895" s="105"/>
      <c r="AL895" s="105"/>
      <c r="AM895" s="105"/>
    </row>
    <row r="896" spans="1:39" ht="15">
      <c r="A896" s="62" t="s">
        <v>282</v>
      </c>
      <c r="B896" s="62" t="s">
        <v>243</v>
      </c>
      <c r="C896" s="63" t="s">
        <v>3598</v>
      </c>
      <c r="D896" s="64">
        <v>5.2631578947368425</v>
      </c>
      <c r="E896" s="65" t="s">
        <v>136</v>
      </c>
      <c r="F896" s="66">
        <v>31.50943396226415</v>
      </c>
      <c r="G896" s="63"/>
      <c r="H896" s="67"/>
      <c r="I896" s="68"/>
      <c r="J896" s="68"/>
      <c r="K896" s="31" t="s">
        <v>65</v>
      </c>
      <c r="L896" s="76">
        <v>896</v>
      </c>
      <c r="M896" s="76"/>
      <c r="N896" s="70"/>
      <c r="O896" s="78" t="s">
        <v>305</v>
      </c>
      <c r="P896" s="78" t="s">
        <v>566</v>
      </c>
      <c r="Q896" s="78" t="s">
        <v>1103</v>
      </c>
      <c r="R896" s="78" t="s">
        <v>1143</v>
      </c>
      <c r="S896" s="78"/>
      <c r="T896" s="78"/>
      <c r="U896" s="78"/>
      <c r="V896" s="78"/>
      <c r="W896" s="81" t="s">
        <v>1674</v>
      </c>
      <c r="X896" s="81" t="s">
        <v>1674</v>
      </c>
      <c r="Y896" s="78"/>
      <c r="Z896" s="78"/>
      <c r="AA896" s="81" t="s">
        <v>1674</v>
      </c>
      <c r="AB896" s="79">
        <v>2</v>
      </c>
      <c r="AC896" s="80" t="str">
        <f>REPLACE(INDEX(GroupVertices[Group],MATCH("~"&amp;Edges[[#This Row],[Vertex 1]],GroupVertices[Vertex],0)),1,1,"")</f>
        <v>3</v>
      </c>
      <c r="AD896" s="80" t="str">
        <f>REPLACE(INDEX(GroupVertices[Group],MATCH("~"&amp;Edges[[#This Row],[Vertex 2]],GroupVertices[Vertex],0)),1,1,"")</f>
        <v>5</v>
      </c>
      <c r="AE896" s="105"/>
      <c r="AF896" s="105"/>
      <c r="AG896" s="105"/>
      <c r="AH896" s="105"/>
      <c r="AI896" s="105"/>
      <c r="AJ896" s="105"/>
      <c r="AK896" s="105"/>
      <c r="AL896" s="105"/>
      <c r="AM896" s="105"/>
    </row>
    <row r="897" spans="1:39" ht="15">
      <c r="A897" s="62" t="s">
        <v>266</v>
      </c>
      <c r="B897" s="62" t="s">
        <v>282</v>
      </c>
      <c r="C897" s="63" t="s">
        <v>3598</v>
      </c>
      <c r="D897" s="64">
        <v>5</v>
      </c>
      <c r="E897" s="65" t="s">
        <v>132</v>
      </c>
      <c r="F897" s="66">
        <v>32</v>
      </c>
      <c r="G897" s="63"/>
      <c r="H897" s="67"/>
      <c r="I897" s="68"/>
      <c r="J897" s="68"/>
      <c r="K897" s="31" t="s">
        <v>65</v>
      </c>
      <c r="L897" s="76">
        <v>897</v>
      </c>
      <c r="M897" s="76"/>
      <c r="N897" s="70"/>
      <c r="O897" s="78" t="s">
        <v>305</v>
      </c>
      <c r="P897" s="78" t="s">
        <v>568</v>
      </c>
      <c r="Q897" s="78" t="s">
        <v>1105</v>
      </c>
      <c r="R897" s="78" t="s">
        <v>1555</v>
      </c>
      <c r="S897" s="78"/>
      <c r="T897" s="78"/>
      <c r="U897" s="78"/>
      <c r="V897" s="78"/>
      <c r="W897" s="81" t="s">
        <v>1674</v>
      </c>
      <c r="X897" s="81" t="s">
        <v>1674</v>
      </c>
      <c r="Y897" s="78"/>
      <c r="Z897" s="78"/>
      <c r="AA897" s="81" t="s">
        <v>1674</v>
      </c>
      <c r="AB897" s="79">
        <v>1</v>
      </c>
      <c r="AC897" s="80" t="str">
        <f>REPLACE(INDEX(GroupVertices[Group],MATCH("~"&amp;Edges[[#This Row],[Vertex 1]],GroupVertices[Vertex],0)),1,1,"")</f>
        <v>1</v>
      </c>
      <c r="AD897" s="80" t="str">
        <f>REPLACE(INDEX(GroupVertices[Group],MATCH("~"&amp;Edges[[#This Row],[Vertex 2]],GroupVertices[Vertex],0)),1,1,"")</f>
        <v>3</v>
      </c>
      <c r="AE897" s="105"/>
      <c r="AF897" s="105"/>
      <c r="AG897" s="105"/>
      <c r="AH897" s="105"/>
      <c r="AI897" s="105"/>
      <c r="AJ897" s="105"/>
      <c r="AK897" s="105"/>
      <c r="AL897" s="105"/>
      <c r="AM897" s="105"/>
    </row>
    <row r="898" spans="1:39" ht="15">
      <c r="A898" s="62" t="s">
        <v>279</v>
      </c>
      <c r="B898" s="62" t="s">
        <v>282</v>
      </c>
      <c r="C898" s="63" t="s">
        <v>3598</v>
      </c>
      <c r="D898" s="64">
        <v>5</v>
      </c>
      <c r="E898" s="65" t="s">
        <v>132</v>
      </c>
      <c r="F898" s="66">
        <v>32</v>
      </c>
      <c r="G898" s="63"/>
      <c r="H898" s="67"/>
      <c r="I898" s="68"/>
      <c r="J898" s="68"/>
      <c r="K898" s="31" t="s">
        <v>65</v>
      </c>
      <c r="L898" s="76">
        <v>898</v>
      </c>
      <c r="M898" s="76"/>
      <c r="N898" s="70"/>
      <c r="O898" s="78" t="s">
        <v>305</v>
      </c>
      <c r="P898" s="78" t="s">
        <v>567</v>
      </c>
      <c r="Q898" s="78" t="s">
        <v>1106</v>
      </c>
      <c r="R898" s="78" t="s">
        <v>1104</v>
      </c>
      <c r="S898" s="78"/>
      <c r="T898" s="78"/>
      <c r="U898" s="78"/>
      <c r="V898" s="78"/>
      <c r="W898" s="81" t="s">
        <v>1674</v>
      </c>
      <c r="X898" s="81" t="s">
        <v>1674</v>
      </c>
      <c r="Y898" s="78"/>
      <c r="Z898" s="78"/>
      <c r="AA898" s="81" t="s">
        <v>1674</v>
      </c>
      <c r="AB898" s="79">
        <v>1</v>
      </c>
      <c r="AC898" s="80" t="str">
        <f>REPLACE(INDEX(GroupVertices[Group],MATCH("~"&amp;Edges[[#This Row],[Vertex 1]],GroupVertices[Vertex],0)),1,1,"")</f>
        <v>3</v>
      </c>
      <c r="AD898" s="80" t="str">
        <f>REPLACE(INDEX(GroupVertices[Group],MATCH("~"&amp;Edges[[#This Row],[Vertex 2]],GroupVertices[Vertex],0)),1,1,"")</f>
        <v>3</v>
      </c>
      <c r="AE898" s="105"/>
      <c r="AF898" s="105"/>
      <c r="AG898" s="105"/>
      <c r="AH898" s="105"/>
      <c r="AI898" s="105"/>
      <c r="AJ898" s="105"/>
      <c r="AK898" s="105"/>
      <c r="AL898" s="105"/>
      <c r="AM898" s="105"/>
    </row>
    <row r="899" spans="1:39" ht="15">
      <c r="A899" s="62" t="s">
        <v>284</v>
      </c>
      <c r="B899" s="62" t="s">
        <v>282</v>
      </c>
      <c r="C899" s="63" t="s">
        <v>3598</v>
      </c>
      <c r="D899" s="64">
        <v>5</v>
      </c>
      <c r="E899" s="65" t="s">
        <v>132</v>
      </c>
      <c r="F899" s="66">
        <v>32</v>
      </c>
      <c r="G899" s="63"/>
      <c r="H899" s="67"/>
      <c r="I899" s="68"/>
      <c r="J899" s="68"/>
      <c r="K899" s="31" t="s">
        <v>65</v>
      </c>
      <c r="L899" s="76">
        <v>899</v>
      </c>
      <c r="M899" s="76"/>
      <c r="N899" s="70"/>
      <c r="O899" s="78" t="s">
        <v>305</v>
      </c>
      <c r="P899" s="78" t="s">
        <v>569</v>
      </c>
      <c r="Q899" s="78" t="s">
        <v>1107</v>
      </c>
      <c r="R899" s="78" t="s">
        <v>1556</v>
      </c>
      <c r="S899" s="78"/>
      <c r="T899" s="78"/>
      <c r="U899" s="78"/>
      <c r="V899" s="78"/>
      <c r="W899" s="81" t="s">
        <v>1674</v>
      </c>
      <c r="X899" s="81" t="s">
        <v>1674</v>
      </c>
      <c r="Y899" s="78"/>
      <c r="Z899" s="78"/>
      <c r="AA899" s="81" t="s">
        <v>1674</v>
      </c>
      <c r="AB899" s="79">
        <v>1</v>
      </c>
      <c r="AC899" s="80" t="str">
        <f>REPLACE(INDEX(GroupVertices[Group],MATCH("~"&amp;Edges[[#This Row],[Vertex 1]],GroupVertices[Vertex],0)),1,1,"")</f>
        <v>1</v>
      </c>
      <c r="AD899" s="80" t="str">
        <f>REPLACE(INDEX(GroupVertices[Group],MATCH("~"&amp;Edges[[#This Row],[Vertex 2]],GroupVertices[Vertex],0)),1,1,"")</f>
        <v>3</v>
      </c>
      <c r="AE899" s="105"/>
      <c r="AF899" s="105"/>
      <c r="AG899" s="105"/>
      <c r="AH899" s="105"/>
      <c r="AI899" s="105"/>
      <c r="AJ899" s="105"/>
      <c r="AK899" s="105"/>
      <c r="AL899" s="105"/>
      <c r="AM899" s="105"/>
    </row>
    <row r="900" spans="1:39" ht="15">
      <c r="A900" s="62" t="s">
        <v>286</v>
      </c>
      <c r="B900" s="62" t="s">
        <v>282</v>
      </c>
      <c r="C900" s="63" t="s">
        <v>3598</v>
      </c>
      <c r="D900" s="64">
        <v>5</v>
      </c>
      <c r="E900" s="65" t="s">
        <v>132</v>
      </c>
      <c r="F900" s="66">
        <v>32</v>
      </c>
      <c r="G900" s="63"/>
      <c r="H900" s="67"/>
      <c r="I900" s="68"/>
      <c r="J900" s="68"/>
      <c r="K900" s="31" t="s">
        <v>65</v>
      </c>
      <c r="L900" s="76">
        <v>900</v>
      </c>
      <c r="M900" s="76"/>
      <c r="N900" s="70"/>
      <c r="O900" s="78" t="s">
        <v>305</v>
      </c>
      <c r="P900" s="78" t="s">
        <v>567</v>
      </c>
      <c r="Q900" s="78" t="s">
        <v>1108</v>
      </c>
      <c r="R900" s="78" t="s">
        <v>1104</v>
      </c>
      <c r="S900" s="78"/>
      <c r="T900" s="78"/>
      <c r="U900" s="78"/>
      <c r="V900" s="78"/>
      <c r="W900" s="81" t="s">
        <v>1674</v>
      </c>
      <c r="X900" s="81" t="s">
        <v>1674</v>
      </c>
      <c r="Y900" s="78"/>
      <c r="Z900" s="78"/>
      <c r="AA900" s="81" t="s">
        <v>1674</v>
      </c>
      <c r="AB900" s="79">
        <v>1</v>
      </c>
      <c r="AC900" s="80" t="str">
        <f>REPLACE(INDEX(GroupVertices[Group],MATCH("~"&amp;Edges[[#This Row],[Vertex 1]],GroupVertices[Vertex],0)),1,1,"")</f>
        <v>3</v>
      </c>
      <c r="AD900" s="80" t="str">
        <f>REPLACE(INDEX(GroupVertices[Group],MATCH("~"&amp;Edges[[#This Row],[Vertex 2]],GroupVertices[Vertex],0)),1,1,"")</f>
        <v>3</v>
      </c>
      <c r="AE900" s="105"/>
      <c r="AF900" s="105"/>
      <c r="AG900" s="105"/>
      <c r="AH900" s="105"/>
      <c r="AI900" s="105"/>
      <c r="AJ900" s="105"/>
      <c r="AK900" s="105"/>
      <c r="AL900" s="105"/>
      <c r="AM900" s="105"/>
    </row>
    <row r="901" spans="1:39" ht="15">
      <c r="A901" s="62" t="s">
        <v>259</v>
      </c>
      <c r="B901" s="62" t="s">
        <v>245</v>
      </c>
      <c r="C901" s="63" t="s">
        <v>3599</v>
      </c>
      <c r="D901" s="64">
        <v>6.052631578947368</v>
      </c>
      <c r="E901" s="65" t="s">
        <v>136</v>
      </c>
      <c r="F901" s="66">
        <v>30.037735849056602</v>
      </c>
      <c r="G901" s="63"/>
      <c r="H901" s="67"/>
      <c r="I901" s="68"/>
      <c r="J901" s="68"/>
      <c r="K901" s="31" t="s">
        <v>65</v>
      </c>
      <c r="L901" s="76">
        <v>901</v>
      </c>
      <c r="M901" s="76"/>
      <c r="N901" s="70"/>
      <c r="O901" s="78" t="s">
        <v>305</v>
      </c>
      <c r="P901" s="78" t="s">
        <v>360</v>
      </c>
      <c r="Q901" s="78" t="s">
        <v>738</v>
      </c>
      <c r="R901" s="78" t="s">
        <v>722</v>
      </c>
      <c r="S901" s="78"/>
      <c r="T901" s="78"/>
      <c r="U901" s="78"/>
      <c r="V901" s="78"/>
      <c r="W901" s="81" t="s">
        <v>1674</v>
      </c>
      <c r="X901" s="81" t="s">
        <v>1674</v>
      </c>
      <c r="Y901" s="78"/>
      <c r="Z901" s="78"/>
      <c r="AA901" s="81" t="s">
        <v>1674</v>
      </c>
      <c r="AB901" s="79">
        <v>5</v>
      </c>
      <c r="AC901" s="80" t="str">
        <f>REPLACE(INDEX(GroupVertices[Group],MATCH("~"&amp;Edges[[#This Row],[Vertex 1]],GroupVertices[Vertex],0)),1,1,"")</f>
        <v>1</v>
      </c>
      <c r="AD901" s="80" t="str">
        <f>REPLACE(INDEX(GroupVertices[Group],MATCH("~"&amp;Edges[[#This Row],[Vertex 2]],GroupVertices[Vertex],0)),1,1,"")</f>
        <v>1</v>
      </c>
      <c r="AE901" s="105"/>
      <c r="AF901" s="105"/>
      <c r="AG901" s="105"/>
      <c r="AH901" s="105"/>
      <c r="AI901" s="105"/>
      <c r="AJ901" s="105"/>
      <c r="AK901" s="105"/>
      <c r="AL901" s="105"/>
      <c r="AM901" s="105"/>
    </row>
    <row r="902" spans="1:39" ht="15">
      <c r="A902" s="62" t="s">
        <v>259</v>
      </c>
      <c r="B902" s="62" t="s">
        <v>245</v>
      </c>
      <c r="C902" s="63" t="s">
        <v>3599</v>
      </c>
      <c r="D902" s="64">
        <v>6.052631578947368</v>
      </c>
      <c r="E902" s="65" t="s">
        <v>136</v>
      </c>
      <c r="F902" s="66">
        <v>30.037735849056602</v>
      </c>
      <c r="G902" s="63"/>
      <c r="H902" s="67"/>
      <c r="I902" s="68"/>
      <c r="J902" s="68"/>
      <c r="K902" s="31" t="s">
        <v>65</v>
      </c>
      <c r="L902" s="76">
        <v>902</v>
      </c>
      <c r="M902" s="76"/>
      <c r="N902" s="70"/>
      <c r="O902" s="78" t="s">
        <v>305</v>
      </c>
      <c r="P902" s="78" t="s">
        <v>360</v>
      </c>
      <c r="Q902" s="78" t="s">
        <v>739</v>
      </c>
      <c r="R902" s="78" t="s">
        <v>722</v>
      </c>
      <c r="S902" s="78"/>
      <c r="T902" s="78"/>
      <c r="U902" s="78"/>
      <c r="V902" s="78"/>
      <c r="W902" s="81" t="s">
        <v>1674</v>
      </c>
      <c r="X902" s="81" t="s">
        <v>1674</v>
      </c>
      <c r="Y902" s="78"/>
      <c r="Z902" s="78"/>
      <c r="AA902" s="81" t="s">
        <v>1674</v>
      </c>
      <c r="AB902" s="79">
        <v>5</v>
      </c>
      <c r="AC902" s="80" t="str">
        <f>REPLACE(INDEX(GroupVertices[Group],MATCH("~"&amp;Edges[[#This Row],[Vertex 1]],GroupVertices[Vertex],0)),1,1,"")</f>
        <v>1</v>
      </c>
      <c r="AD902" s="80" t="str">
        <f>REPLACE(INDEX(GroupVertices[Group],MATCH("~"&amp;Edges[[#This Row],[Vertex 2]],GroupVertices[Vertex],0)),1,1,"")</f>
        <v>1</v>
      </c>
      <c r="AE902" s="105"/>
      <c r="AF902" s="105"/>
      <c r="AG902" s="105"/>
      <c r="AH902" s="105"/>
      <c r="AI902" s="105"/>
      <c r="AJ902" s="105"/>
      <c r="AK902" s="105"/>
      <c r="AL902" s="105"/>
      <c r="AM902" s="105"/>
    </row>
    <row r="903" spans="1:39" ht="15">
      <c r="A903" s="62" t="s">
        <v>259</v>
      </c>
      <c r="B903" s="62" t="s">
        <v>245</v>
      </c>
      <c r="C903" s="63" t="s">
        <v>3599</v>
      </c>
      <c r="D903" s="64">
        <v>6.052631578947368</v>
      </c>
      <c r="E903" s="65" t="s">
        <v>136</v>
      </c>
      <c r="F903" s="66">
        <v>30.037735849056602</v>
      </c>
      <c r="G903" s="63"/>
      <c r="H903" s="67"/>
      <c r="I903" s="68"/>
      <c r="J903" s="68"/>
      <c r="K903" s="31" t="s">
        <v>65</v>
      </c>
      <c r="L903" s="76">
        <v>903</v>
      </c>
      <c r="M903" s="76"/>
      <c r="N903" s="70"/>
      <c r="O903" s="78" t="s">
        <v>305</v>
      </c>
      <c r="P903" s="78" t="s">
        <v>360</v>
      </c>
      <c r="Q903" s="78" t="s">
        <v>740</v>
      </c>
      <c r="R903" s="78" t="s">
        <v>722</v>
      </c>
      <c r="S903" s="78"/>
      <c r="T903" s="78"/>
      <c r="U903" s="78"/>
      <c r="V903" s="78"/>
      <c r="W903" s="81" t="s">
        <v>1674</v>
      </c>
      <c r="X903" s="81" t="s">
        <v>1674</v>
      </c>
      <c r="Y903" s="78"/>
      <c r="Z903" s="78"/>
      <c r="AA903" s="81" t="s">
        <v>1674</v>
      </c>
      <c r="AB903" s="79">
        <v>5</v>
      </c>
      <c r="AC903" s="80" t="str">
        <f>REPLACE(INDEX(GroupVertices[Group],MATCH("~"&amp;Edges[[#This Row],[Vertex 1]],GroupVertices[Vertex],0)),1,1,"")</f>
        <v>1</v>
      </c>
      <c r="AD903" s="80" t="str">
        <f>REPLACE(INDEX(GroupVertices[Group],MATCH("~"&amp;Edges[[#This Row],[Vertex 2]],GroupVertices[Vertex],0)),1,1,"")</f>
        <v>1</v>
      </c>
      <c r="AE903" s="105"/>
      <c r="AF903" s="105"/>
      <c r="AG903" s="105"/>
      <c r="AH903" s="105"/>
      <c r="AI903" s="105"/>
      <c r="AJ903" s="105"/>
      <c r="AK903" s="105"/>
      <c r="AL903" s="105"/>
      <c r="AM903" s="105"/>
    </row>
    <row r="904" spans="1:39" ht="15">
      <c r="A904" s="62" t="s">
        <v>259</v>
      </c>
      <c r="B904" s="62" t="s">
        <v>245</v>
      </c>
      <c r="C904" s="63" t="s">
        <v>3599</v>
      </c>
      <c r="D904" s="64">
        <v>6.052631578947368</v>
      </c>
      <c r="E904" s="65" t="s">
        <v>136</v>
      </c>
      <c r="F904" s="66">
        <v>30.037735849056602</v>
      </c>
      <c r="G904" s="63"/>
      <c r="H904" s="67"/>
      <c r="I904" s="68"/>
      <c r="J904" s="68"/>
      <c r="K904" s="31" t="s">
        <v>65</v>
      </c>
      <c r="L904" s="76">
        <v>904</v>
      </c>
      <c r="M904" s="76"/>
      <c r="N904" s="70"/>
      <c r="O904" s="78" t="s">
        <v>305</v>
      </c>
      <c r="P904" s="78" t="s">
        <v>360</v>
      </c>
      <c r="Q904" s="78" t="s">
        <v>743</v>
      </c>
      <c r="R904" s="78" t="s">
        <v>722</v>
      </c>
      <c r="S904" s="78"/>
      <c r="T904" s="78"/>
      <c r="U904" s="78"/>
      <c r="V904" s="78"/>
      <c r="W904" s="81" t="s">
        <v>1674</v>
      </c>
      <c r="X904" s="81" t="s">
        <v>1674</v>
      </c>
      <c r="Y904" s="78"/>
      <c r="Z904" s="78"/>
      <c r="AA904" s="81" t="s">
        <v>1674</v>
      </c>
      <c r="AB904" s="79">
        <v>5</v>
      </c>
      <c r="AC904" s="80" t="str">
        <f>REPLACE(INDEX(GroupVertices[Group],MATCH("~"&amp;Edges[[#This Row],[Vertex 1]],GroupVertices[Vertex],0)),1,1,"")</f>
        <v>1</v>
      </c>
      <c r="AD904" s="80" t="str">
        <f>REPLACE(INDEX(GroupVertices[Group],MATCH("~"&amp;Edges[[#This Row],[Vertex 2]],GroupVertices[Vertex],0)),1,1,"")</f>
        <v>1</v>
      </c>
      <c r="AE904" s="105"/>
      <c r="AF904" s="105"/>
      <c r="AG904" s="105"/>
      <c r="AH904" s="105"/>
      <c r="AI904" s="105"/>
      <c r="AJ904" s="105"/>
      <c r="AK904" s="105"/>
      <c r="AL904" s="105"/>
      <c r="AM904" s="105"/>
    </row>
    <row r="905" spans="1:39" ht="15">
      <c r="A905" s="62" t="s">
        <v>259</v>
      </c>
      <c r="B905" s="62" t="s">
        <v>245</v>
      </c>
      <c r="C905" s="63" t="s">
        <v>3599</v>
      </c>
      <c r="D905" s="64">
        <v>6.052631578947368</v>
      </c>
      <c r="E905" s="65" t="s">
        <v>136</v>
      </c>
      <c r="F905" s="66">
        <v>30.037735849056602</v>
      </c>
      <c r="G905" s="63"/>
      <c r="H905" s="67"/>
      <c r="I905" s="68"/>
      <c r="J905" s="68"/>
      <c r="K905" s="31" t="s">
        <v>65</v>
      </c>
      <c r="L905" s="76">
        <v>905</v>
      </c>
      <c r="M905" s="76"/>
      <c r="N905" s="70"/>
      <c r="O905" s="78" t="s">
        <v>305</v>
      </c>
      <c r="P905" s="78" t="s">
        <v>361</v>
      </c>
      <c r="Q905" s="78" t="s">
        <v>746</v>
      </c>
      <c r="R905" s="78" t="s">
        <v>723</v>
      </c>
      <c r="S905" s="78"/>
      <c r="T905" s="78"/>
      <c r="U905" s="78"/>
      <c r="V905" s="78"/>
      <c r="W905" s="81" t="s">
        <v>1674</v>
      </c>
      <c r="X905" s="81" t="s">
        <v>1674</v>
      </c>
      <c r="Y905" s="78"/>
      <c r="Z905" s="78"/>
      <c r="AA905" s="81" t="s">
        <v>1674</v>
      </c>
      <c r="AB905" s="79">
        <v>5</v>
      </c>
      <c r="AC905" s="80" t="str">
        <f>REPLACE(INDEX(GroupVertices[Group],MATCH("~"&amp;Edges[[#This Row],[Vertex 1]],GroupVertices[Vertex],0)),1,1,"")</f>
        <v>1</v>
      </c>
      <c r="AD905" s="80" t="str">
        <f>REPLACE(INDEX(GroupVertices[Group],MATCH("~"&amp;Edges[[#This Row],[Vertex 2]],GroupVertices[Vertex],0)),1,1,"")</f>
        <v>1</v>
      </c>
      <c r="AE905" s="105"/>
      <c r="AF905" s="105"/>
      <c r="AG905" s="105"/>
      <c r="AH905" s="105"/>
      <c r="AI905" s="105"/>
      <c r="AJ905" s="105"/>
      <c r="AK905" s="105"/>
      <c r="AL905" s="105"/>
      <c r="AM905" s="105"/>
    </row>
    <row r="906" spans="1:39" ht="15">
      <c r="A906" s="62" t="s">
        <v>259</v>
      </c>
      <c r="B906" s="62" t="s">
        <v>254</v>
      </c>
      <c r="C906" s="63" t="s">
        <v>3598</v>
      </c>
      <c r="D906" s="64">
        <v>5.2631578947368425</v>
      </c>
      <c r="E906" s="65" t="s">
        <v>136</v>
      </c>
      <c r="F906" s="66">
        <v>31.50943396226415</v>
      </c>
      <c r="G906" s="63"/>
      <c r="H906" s="67"/>
      <c r="I906" s="68"/>
      <c r="J906" s="68"/>
      <c r="K906" s="31" t="s">
        <v>65</v>
      </c>
      <c r="L906" s="76">
        <v>906</v>
      </c>
      <c r="M906" s="76"/>
      <c r="N906" s="70"/>
      <c r="O906" s="78" t="s">
        <v>305</v>
      </c>
      <c r="P906" s="78" t="s">
        <v>363</v>
      </c>
      <c r="Q906" s="78" t="s">
        <v>745</v>
      </c>
      <c r="R906" s="78" t="s">
        <v>728</v>
      </c>
      <c r="S906" s="78"/>
      <c r="T906" s="78"/>
      <c r="U906" s="78"/>
      <c r="V906" s="78"/>
      <c r="W906" s="81" t="s">
        <v>1674</v>
      </c>
      <c r="X906" s="81" t="s">
        <v>1674</v>
      </c>
      <c r="Y906" s="78"/>
      <c r="Z906" s="78"/>
      <c r="AA906" s="81" t="s">
        <v>1674</v>
      </c>
      <c r="AB906" s="79">
        <v>2</v>
      </c>
      <c r="AC906" s="80" t="str">
        <f>REPLACE(INDEX(GroupVertices[Group],MATCH("~"&amp;Edges[[#This Row],[Vertex 1]],GroupVertices[Vertex],0)),1,1,"")</f>
        <v>1</v>
      </c>
      <c r="AD906" s="80" t="str">
        <f>REPLACE(INDEX(GroupVertices[Group],MATCH("~"&amp;Edges[[#This Row],[Vertex 2]],GroupVertices[Vertex],0)),1,1,"")</f>
        <v>2</v>
      </c>
      <c r="AE906" s="105"/>
      <c r="AF906" s="105"/>
      <c r="AG906" s="105"/>
      <c r="AH906" s="105"/>
      <c r="AI906" s="105"/>
      <c r="AJ906" s="105"/>
      <c r="AK906" s="105"/>
      <c r="AL906" s="105"/>
      <c r="AM906" s="105"/>
    </row>
    <row r="907" spans="1:39" ht="15">
      <c r="A907" s="62" t="s">
        <v>259</v>
      </c>
      <c r="B907" s="62" t="s">
        <v>254</v>
      </c>
      <c r="C907" s="63" t="s">
        <v>3598</v>
      </c>
      <c r="D907" s="64">
        <v>5.2631578947368425</v>
      </c>
      <c r="E907" s="65" t="s">
        <v>136</v>
      </c>
      <c r="F907" s="66">
        <v>31.50943396226415</v>
      </c>
      <c r="G907" s="63"/>
      <c r="H907" s="67"/>
      <c r="I907" s="68"/>
      <c r="J907" s="68"/>
      <c r="K907" s="31" t="s">
        <v>65</v>
      </c>
      <c r="L907" s="76">
        <v>907</v>
      </c>
      <c r="M907" s="76"/>
      <c r="N907" s="70"/>
      <c r="O907" s="78" t="s">
        <v>305</v>
      </c>
      <c r="P907" s="78" t="s">
        <v>361</v>
      </c>
      <c r="Q907" s="78" t="s">
        <v>746</v>
      </c>
      <c r="R907" s="78" t="s">
        <v>729</v>
      </c>
      <c r="S907" s="78"/>
      <c r="T907" s="78"/>
      <c r="U907" s="78"/>
      <c r="V907" s="78"/>
      <c r="W907" s="81" t="s">
        <v>1674</v>
      </c>
      <c r="X907" s="81" t="s">
        <v>1674</v>
      </c>
      <c r="Y907" s="78"/>
      <c r="Z907" s="78"/>
      <c r="AA907" s="81" t="s">
        <v>1674</v>
      </c>
      <c r="AB907" s="79">
        <v>2</v>
      </c>
      <c r="AC907" s="80" t="str">
        <f>REPLACE(INDEX(GroupVertices[Group],MATCH("~"&amp;Edges[[#This Row],[Vertex 1]],GroupVertices[Vertex],0)),1,1,"")</f>
        <v>1</v>
      </c>
      <c r="AD907" s="80" t="str">
        <f>REPLACE(INDEX(GroupVertices[Group],MATCH("~"&amp;Edges[[#This Row],[Vertex 2]],GroupVertices[Vertex],0)),1,1,"")</f>
        <v>2</v>
      </c>
      <c r="AE907" s="105"/>
      <c r="AF907" s="105"/>
      <c r="AG907" s="105"/>
      <c r="AH907" s="105"/>
      <c r="AI907" s="105"/>
      <c r="AJ907" s="105"/>
      <c r="AK907" s="105"/>
      <c r="AL907" s="105"/>
      <c r="AM907" s="105"/>
    </row>
    <row r="908" spans="1:39" ht="15">
      <c r="A908" s="62" t="s">
        <v>259</v>
      </c>
      <c r="B908" s="62" t="s">
        <v>256</v>
      </c>
      <c r="C908" s="63" t="s">
        <v>3598</v>
      </c>
      <c r="D908" s="64">
        <v>5</v>
      </c>
      <c r="E908" s="65" t="s">
        <v>132</v>
      </c>
      <c r="F908" s="66">
        <v>32</v>
      </c>
      <c r="G908" s="63"/>
      <c r="H908" s="67"/>
      <c r="I908" s="68"/>
      <c r="J908" s="68"/>
      <c r="K908" s="31" t="s">
        <v>65</v>
      </c>
      <c r="L908" s="76">
        <v>908</v>
      </c>
      <c r="M908" s="76"/>
      <c r="N908" s="70"/>
      <c r="O908" s="78" t="s">
        <v>305</v>
      </c>
      <c r="P908" s="78" t="s">
        <v>363</v>
      </c>
      <c r="Q908" s="78" t="s">
        <v>745</v>
      </c>
      <c r="R908" s="78" t="s">
        <v>733</v>
      </c>
      <c r="S908" s="78"/>
      <c r="T908" s="78"/>
      <c r="U908" s="78"/>
      <c r="V908" s="78"/>
      <c r="W908" s="81" t="s">
        <v>1674</v>
      </c>
      <c r="X908" s="81" t="s">
        <v>1674</v>
      </c>
      <c r="Y908" s="78"/>
      <c r="Z908" s="78"/>
      <c r="AA908" s="81" t="s">
        <v>1674</v>
      </c>
      <c r="AB908" s="79">
        <v>1</v>
      </c>
      <c r="AC908" s="80" t="str">
        <f>REPLACE(INDEX(GroupVertices[Group],MATCH("~"&amp;Edges[[#This Row],[Vertex 1]],GroupVertices[Vertex],0)),1,1,"")</f>
        <v>1</v>
      </c>
      <c r="AD908" s="80" t="str">
        <f>REPLACE(INDEX(GroupVertices[Group],MATCH("~"&amp;Edges[[#This Row],[Vertex 2]],GroupVertices[Vertex],0)),1,1,"")</f>
        <v>1</v>
      </c>
      <c r="AE908" s="105"/>
      <c r="AF908" s="105"/>
      <c r="AG908" s="105"/>
      <c r="AH908" s="105"/>
      <c r="AI908" s="105"/>
      <c r="AJ908" s="105"/>
      <c r="AK908" s="105"/>
      <c r="AL908" s="105"/>
      <c r="AM908" s="105"/>
    </row>
    <row r="909" spans="1:39" ht="15">
      <c r="A909" s="62" t="s">
        <v>259</v>
      </c>
      <c r="B909" s="62" t="s">
        <v>246</v>
      </c>
      <c r="C909" s="63" t="s">
        <v>3598</v>
      </c>
      <c r="D909" s="64">
        <v>5</v>
      </c>
      <c r="E909" s="65" t="s">
        <v>132</v>
      </c>
      <c r="F909" s="66">
        <v>32</v>
      </c>
      <c r="G909" s="63"/>
      <c r="H909" s="67"/>
      <c r="I909" s="68"/>
      <c r="J909" s="68"/>
      <c r="K909" s="31" t="s">
        <v>65</v>
      </c>
      <c r="L909" s="76">
        <v>909</v>
      </c>
      <c r="M909" s="76"/>
      <c r="N909" s="70"/>
      <c r="O909" s="78" t="s">
        <v>305</v>
      </c>
      <c r="P909" s="78" t="s">
        <v>570</v>
      </c>
      <c r="Q909" s="78" t="s">
        <v>1109</v>
      </c>
      <c r="R909" s="78" t="s">
        <v>1557</v>
      </c>
      <c r="S909" s="78"/>
      <c r="T909" s="78"/>
      <c r="U909" s="78"/>
      <c r="V909" s="78"/>
      <c r="W909" s="81" t="s">
        <v>1674</v>
      </c>
      <c r="X909" s="81" t="s">
        <v>1674</v>
      </c>
      <c r="Y909" s="78"/>
      <c r="Z909" s="78"/>
      <c r="AA909" s="81" t="s">
        <v>1674</v>
      </c>
      <c r="AB909" s="79">
        <v>1</v>
      </c>
      <c r="AC909" s="80" t="str">
        <f>REPLACE(INDEX(GroupVertices[Group],MATCH("~"&amp;Edges[[#This Row],[Vertex 1]],GroupVertices[Vertex],0)),1,1,"")</f>
        <v>1</v>
      </c>
      <c r="AD909" s="80" t="str">
        <f>REPLACE(INDEX(GroupVertices[Group],MATCH("~"&amp;Edges[[#This Row],[Vertex 2]],GroupVertices[Vertex],0)),1,1,"")</f>
        <v>3</v>
      </c>
      <c r="AE909" s="105"/>
      <c r="AF909" s="105"/>
      <c r="AG909" s="105"/>
      <c r="AH909" s="105"/>
      <c r="AI909" s="105"/>
      <c r="AJ909" s="105"/>
      <c r="AK909" s="105"/>
      <c r="AL909" s="105"/>
      <c r="AM909" s="105"/>
    </row>
    <row r="910" spans="1:39" ht="15">
      <c r="A910" s="62" t="s">
        <v>247</v>
      </c>
      <c r="B910" s="62" t="s">
        <v>259</v>
      </c>
      <c r="C910" s="63" t="s">
        <v>3599</v>
      </c>
      <c r="D910" s="64">
        <v>6.315789473684211</v>
      </c>
      <c r="E910" s="65" t="s">
        <v>136</v>
      </c>
      <c r="F910" s="66">
        <v>29.547169811320757</v>
      </c>
      <c r="G910" s="63"/>
      <c r="H910" s="67"/>
      <c r="I910" s="68"/>
      <c r="J910" s="68"/>
      <c r="K910" s="31" t="s">
        <v>65</v>
      </c>
      <c r="L910" s="76">
        <v>910</v>
      </c>
      <c r="M910" s="76"/>
      <c r="N910" s="70"/>
      <c r="O910" s="78" t="s">
        <v>305</v>
      </c>
      <c r="P910" s="78" t="s">
        <v>571</v>
      </c>
      <c r="Q910" s="78" t="s">
        <v>1110</v>
      </c>
      <c r="R910" s="78" t="s">
        <v>1558</v>
      </c>
      <c r="S910" s="78"/>
      <c r="T910" s="78"/>
      <c r="U910" s="78"/>
      <c r="V910" s="78"/>
      <c r="W910" s="81" t="s">
        <v>1674</v>
      </c>
      <c r="X910" s="81" t="s">
        <v>1674</v>
      </c>
      <c r="Y910" s="78"/>
      <c r="Z910" s="78"/>
      <c r="AA910" s="81" t="s">
        <v>1674</v>
      </c>
      <c r="AB910" s="79">
        <v>6</v>
      </c>
      <c r="AC910" s="80" t="str">
        <f>REPLACE(INDEX(GroupVertices[Group],MATCH("~"&amp;Edges[[#This Row],[Vertex 1]],GroupVertices[Vertex],0)),1,1,"")</f>
        <v>2</v>
      </c>
      <c r="AD910" s="80" t="str">
        <f>REPLACE(INDEX(GroupVertices[Group],MATCH("~"&amp;Edges[[#This Row],[Vertex 2]],GroupVertices[Vertex],0)),1,1,"")</f>
        <v>1</v>
      </c>
      <c r="AE910" s="105"/>
      <c r="AF910" s="105"/>
      <c r="AG910" s="105"/>
      <c r="AH910" s="105"/>
      <c r="AI910" s="105"/>
      <c r="AJ910" s="105"/>
      <c r="AK910" s="105"/>
      <c r="AL910" s="105"/>
      <c r="AM910" s="105"/>
    </row>
    <row r="911" spans="1:39" ht="15">
      <c r="A911" s="62" t="s">
        <v>247</v>
      </c>
      <c r="B911" s="62" t="s">
        <v>259</v>
      </c>
      <c r="C911" s="63" t="s">
        <v>3599</v>
      </c>
      <c r="D911" s="64">
        <v>6.315789473684211</v>
      </c>
      <c r="E911" s="65" t="s">
        <v>136</v>
      </c>
      <c r="F911" s="66">
        <v>29.547169811320757</v>
      </c>
      <c r="G911" s="63"/>
      <c r="H911" s="67"/>
      <c r="I911" s="68"/>
      <c r="J911" s="68"/>
      <c r="K911" s="31" t="s">
        <v>65</v>
      </c>
      <c r="L911" s="76">
        <v>911</v>
      </c>
      <c r="M911" s="76"/>
      <c r="N911" s="70"/>
      <c r="O911" s="78" t="s">
        <v>305</v>
      </c>
      <c r="P911" s="78" t="s">
        <v>571</v>
      </c>
      <c r="Q911" s="78" t="s">
        <v>1111</v>
      </c>
      <c r="R911" s="78" t="s">
        <v>1558</v>
      </c>
      <c r="S911" s="78"/>
      <c r="T911" s="78"/>
      <c r="U911" s="78"/>
      <c r="V911" s="78"/>
      <c r="W911" s="81" t="s">
        <v>1674</v>
      </c>
      <c r="X911" s="81" t="s">
        <v>1674</v>
      </c>
      <c r="Y911" s="78"/>
      <c r="Z911" s="78"/>
      <c r="AA911" s="81" t="s">
        <v>1674</v>
      </c>
      <c r="AB911" s="79">
        <v>6</v>
      </c>
      <c r="AC911" s="80" t="str">
        <f>REPLACE(INDEX(GroupVertices[Group],MATCH("~"&amp;Edges[[#This Row],[Vertex 1]],GroupVertices[Vertex],0)),1,1,"")</f>
        <v>2</v>
      </c>
      <c r="AD911" s="80" t="str">
        <f>REPLACE(INDEX(GroupVertices[Group],MATCH("~"&amp;Edges[[#This Row],[Vertex 2]],GroupVertices[Vertex],0)),1,1,"")</f>
        <v>1</v>
      </c>
      <c r="AE911" s="105"/>
      <c r="AF911" s="105"/>
      <c r="AG911" s="105"/>
      <c r="AH911" s="105"/>
      <c r="AI911" s="105"/>
      <c r="AJ911" s="105"/>
      <c r="AK911" s="105"/>
      <c r="AL911" s="105"/>
      <c r="AM911" s="105"/>
    </row>
    <row r="912" spans="1:39" ht="15">
      <c r="A912" s="62" t="s">
        <v>247</v>
      </c>
      <c r="B912" s="62" t="s">
        <v>259</v>
      </c>
      <c r="C912" s="63" t="s">
        <v>3599</v>
      </c>
      <c r="D912" s="64">
        <v>6.315789473684211</v>
      </c>
      <c r="E912" s="65" t="s">
        <v>136</v>
      </c>
      <c r="F912" s="66">
        <v>29.547169811320757</v>
      </c>
      <c r="G912" s="63"/>
      <c r="H912" s="67"/>
      <c r="I912" s="68"/>
      <c r="J912" s="68"/>
      <c r="K912" s="31" t="s">
        <v>65</v>
      </c>
      <c r="L912" s="76">
        <v>912</v>
      </c>
      <c r="M912" s="76"/>
      <c r="N912" s="70"/>
      <c r="O912" s="78" t="s">
        <v>305</v>
      </c>
      <c r="P912" s="78" t="s">
        <v>571</v>
      </c>
      <c r="Q912" s="78" t="s">
        <v>1112</v>
      </c>
      <c r="R912" s="78" t="s">
        <v>1558</v>
      </c>
      <c r="S912" s="78"/>
      <c r="T912" s="78"/>
      <c r="U912" s="78"/>
      <c r="V912" s="78"/>
      <c r="W912" s="81" t="s">
        <v>1674</v>
      </c>
      <c r="X912" s="81" t="s">
        <v>1674</v>
      </c>
      <c r="Y912" s="78"/>
      <c r="Z912" s="78"/>
      <c r="AA912" s="81" t="s">
        <v>1674</v>
      </c>
      <c r="AB912" s="79">
        <v>6</v>
      </c>
      <c r="AC912" s="80" t="str">
        <f>REPLACE(INDEX(GroupVertices[Group],MATCH("~"&amp;Edges[[#This Row],[Vertex 1]],GroupVertices[Vertex],0)),1,1,"")</f>
        <v>2</v>
      </c>
      <c r="AD912" s="80" t="str">
        <f>REPLACE(INDEX(GroupVertices[Group],MATCH("~"&amp;Edges[[#This Row],[Vertex 2]],GroupVertices[Vertex],0)),1,1,"")</f>
        <v>1</v>
      </c>
      <c r="AE912" s="105"/>
      <c r="AF912" s="105"/>
      <c r="AG912" s="105"/>
      <c r="AH912" s="105"/>
      <c r="AI912" s="105"/>
      <c r="AJ912" s="105"/>
      <c r="AK912" s="105"/>
      <c r="AL912" s="105"/>
      <c r="AM912" s="105"/>
    </row>
    <row r="913" spans="1:39" ht="15">
      <c r="A913" s="62" t="s">
        <v>247</v>
      </c>
      <c r="B913" s="62" t="s">
        <v>259</v>
      </c>
      <c r="C913" s="63" t="s">
        <v>3599</v>
      </c>
      <c r="D913" s="64">
        <v>6.315789473684211</v>
      </c>
      <c r="E913" s="65" t="s">
        <v>136</v>
      </c>
      <c r="F913" s="66">
        <v>29.547169811320757</v>
      </c>
      <c r="G913" s="63"/>
      <c r="H913" s="67"/>
      <c r="I913" s="68"/>
      <c r="J913" s="68"/>
      <c r="K913" s="31" t="s">
        <v>65</v>
      </c>
      <c r="L913" s="76">
        <v>913</v>
      </c>
      <c r="M913" s="76"/>
      <c r="N913" s="70"/>
      <c r="O913" s="78" t="s">
        <v>305</v>
      </c>
      <c r="P913" s="78" t="s">
        <v>571</v>
      </c>
      <c r="Q913" s="78" t="s">
        <v>1113</v>
      </c>
      <c r="R913" s="78" t="s">
        <v>1558</v>
      </c>
      <c r="S913" s="78"/>
      <c r="T913" s="78"/>
      <c r="U913" s="78"/>
      <c r="V913" s="78"/>
      <c r="W913" s="81" t="s">
        <v>1674</v>
      </c>
      <c r="X913" s="81" t="s">
        <v>1674</v>
      </c>
      <c r="Y913" s="78"/>
      <c r="Z913" s="78"/>
      <c r="AA913" s="81" t="s">
        <v>1674</v>
      </c>
      <c r="AB913" s="79">
        <v>6</v>
      </c>
      <c r="AC913" s="80" t="str">
        <f>REPLACE(INDEX(GroupVertices[Group],MATCH("~"&amp;Edges[[#This Row],[Vertex 1]],GroupVertices[Vertex],0)),1,1,"")</f>
        <v>2</v>
      </c>
      <c r="AD913" s="80" t="str">
        <f>REPLACE(INDEX(GroupVertices[Group],MATCH("~"&amp;Edges[[#This Row],[Vertex 2]],GroupVertices[Vertex],0)),1,1,"")</f>
        <v>1</v>
      </c>
      <c r="AE913" s="105"/>
      <c r="AF913" s="105"/>
      <c r="AG913" s="105"/>
      <c r="AH913" s="105"/>
      <c r="AI913" s="105"/>
      <c r="AJ913" s="105"/>
      <c r="AK913" s="105"/>
      <c r="AL913" s="105"/>
      <c r="AM913" s="105"/>
    </row>
    <row r="914" spans="1:39" ht="15">
      <c r="A914" s="62" t="s">
        <v>247</v>
      </c>
      <c r="B914" s="62" t="s">
        <v>259</v>
      </c>
      <c r="C914" s="63" t="s">
        <v>3599</v>
      </c>
      <c r="D914" s="64">
        <v>6.315789473684211</v>
      </c>
      <c r="E914" s="65" t="s">
        <v>136</v>
      </c>
      <c r="F914" s="66">
        <v>29.547169811320757</v>
      </c>
      <c r="G914" s="63"/>
      <c r="H914" s="67"/>
      <c r="I914" s="68"/>
      <c r="J914" s="68"/>
      <c r="K914" s="31" t="s">
        <v>65</v>
      </c>
      <c r="L914" s="76">
        <v>914</v>
      </c>
      <c r="M914" s="76"/>
      <c r="N914" s="70"/>
      <c r="O914" s="78" t="s">
        <v>305</v>
      </c>
      <c r="P914" s="78" t="s">
        <v>571</v>
      </c>
      <c r="Q914" s="78" t="s">
        <v>1114</v>
      </c>
      <c r="R914" s="78" t="s">
        <v>1558</v>
      </c>
      <c r="S914" s="78"/>
      <c r="T914" s="78"/>
      <c r="U914" s="78"/>
      <c r="V914" s="78"/>
      <c r="W914" s="81" t="s">
        <v>1674</v>
      </c>
      <c r="X914" s="81" t="s">
        <v>1674</v>
      </c>
      <c r="Y914" s="78"/>
      <c r="Z914" s="78"/>
      <c r="AA914" s="81" t="s">
        <v>1674</v>
      </c>
      <c r="AB914" s="79">
        <v>6</v>
      </c>
      <c r="AC914" s="80" t="str">
        <f>REPLACE(INDEX(GroupVertices[Group],MATCH("~"&amp;Edges[[#This Row],[Vertex 1]],GroupVertices[Vertex],0)),1,1,"")</f>
        <v>2</v>
      </c>
      <c r="AD914" s="80" t="str">
        <f>REPLACE(INDEX(GroupVertices[Group],MATCH("~"&amp;Edges[[#This Row],[Vertex 2]],GroupVertices[Vertex],0)),1,1,"")</f>
        <v>1</v>
      </c>
      <c r="AE914" s="105"/>
      <c r="AF914" s="105"/>
      <c r="AG914" s="105"/>
      <c r="AH914" s="105"/>
      <c r="AI914" s="105"/>
      <c r="AJ914" s="105"/>
      <c r="AK914" s="105"/>
      <c r="AL914" s="105"/>
      <c r="AM914" s="105"/>
    </row>
    <row r="915" spans="1:39" ht="15">
      <c r="A915" s="62" t="s">
        <v>247</v>
      </c>
      <c r="B915" s="62" t="s">
        <v>259</v>
      </c>
      <c r="C915" s="63" t="s">
        <v>3599</v>
      </c>
      <c r="D915" s="64">
        <v>6.315789473684211</v>
      </c>
      <c r="E915" s="65" t="s">
        <v>136</v>
      </c>
      <c r="F915" s="66">
        <v>29.547169811320757</v>
      </c>
      <c r="G915" s="63"/>
      <c r="H915" s="67"/>
      <c r="I915" s="68"/>
      <c r="J915" s="68"/>
      <c r="K915" s="31" t="s">
        <v>65</v>
      </c>
      <c r="L915" s="76">
        <v>915</v>
      </c>
      <c r="M915" s="76"/>
      <c r="N915" s="70"/>
      <c r="O915" s="78" t="s">
        <v>305</v>
      </c>
      <c r="P915" s="78" t="s">
        <v>572</v>
      </c>
      <c r="Q915" s="78" t="s">
        <v>1115</v>
      </c>
      <c r="R915" s="78" t="s">
        <v>1559</v>
      </c>
      <c r="S915" s="78"/>
      <c r="T915" s="78"/>
      <c r="U915" s="78"/>
      <c r="V915" s="78"/>
      <c r="W915" s="81" t="s">
        <v>1674</v>
      </c>
      <c r="X915" s="81" t="s">
        <v>1674</v>
      </c>
      <c r="Y915" s="78"/>
      <c r="Z915" s="78"/>
      <c r="AA915" s="81" t="s">
        <v>1674</v>
      </c>
      <c r="AB915" s="79">
        <v>6</v>
      </c>
      <c r="AC915" s="80" t="str">
        <f>REPLACE(INDEX(GroupVertices[Group],MATCH("~"&amp;Edges[[#This Row],[Vertex 1]],GroupVertices[Vertex],0)),1,1,"")</f>
        <v>2</v>
      </c>
      <c r="AD915" s="80" t="str">
        <f>REPLACE(INDEX(GroupVertices[Group],MATCH("~"&amp;Edges[[#This Row],[Vertex 2]],GroupVertices[Vertex],0)),1,1,"")</f>
        <v>1</v>
      </c>
      <c r="AE915" s="105"/>
      <c r="AF915" s="105"/>
      <c r="AG915" s="105"/>
      <c r="AH915" s="105"/>
      <c r="AI915" s="105"/>
      <c r="AJ915" s="105"/>
      <c r="AK915" s="105"/>
      <c r="AL915" s="105"/>
      <c r="AM915" s="105"/>
    </row>
    <row r="916" spans="1:39" ht="15">
      <c r="A916" s="62" t="s">
        <v>266</v>
      </c>
      <c r="B916" s="62" t="s">
        <v>259</v>
      </c>
      <c r="C916" s="63" t="s">
        <v>3598</v>
      </c>
      <c r="D916" s="64">
        <v>5.2631578947368425</v>
      </c>
      <c r="E916" s="65" t="s">
        <v>136</v>
      </c>
      <c r="F916" s="66">
        <v>31.50943396226415</v>
      </c>
      <c r="G916" s="63"/>
      <c r="H916" s="67"/>
      <c r="I916" s="68"/>
      <c r="J916" s="68"/>
      <c r="K916" s="31" t="s">
        <v>65</v>
      </c>
      <c r="L916" s="76">
        <v>916</v>
      </c>
      <c r="M916" s="76"/>
      <c r="N916" s="70"/>
      <c r="O916" s="78" t="s">
        <v>305</v>
      </c>
      <c r="P916" s="78" t="s">
        <v>573</v>
      </c>
      <c r="Q916" s="78" t="s">
        <v>1116</v>
      </c>
      <c r="R916" s="78" t="s">
        <v>1560</v>
      </c>
      <c r="S916" s="78"/>
      <c r="T916" s="78"/>
      <c r="U916" s="78"/>
      <c r="V916" s="78"/>
      <c r="W916" s="81" t="s">
        <v>1674</v>
      </c>
      <c r="X916" s="81" t="s">
        <v>1674</v>
      </c>
      <c r="Y916" s="78"/>
      <c r="Z916" s="78"/>
      <c r="AA916" s="81" t="s">
        <v>1674</v>
      </c>
      <c r="AB916" s="79">
        <v>2</v>
      </c>
      <c r="AC916" s="80" t="str">
        <f>REPLACE(INDEX(GroupVertices[Group],MATCH("~"&amp;Edges[[#This Row],[Vertex 1]],GroupVertices[Vertex],0)),1,1,"")</f>
        <v>1</v>
      </c>
      <c r="AD916" s="80" t="str">
        <f>REPLACE(INDEX(GroupVertices[Group],MATCH("~"&amp;Edges[[#This Row],[Vertex 2]],GroupVertices[Vertex],0)),1,1,"")</f>
        <v>1</v>
      </c>
      <c r="AE916" s="105"/>
      <c r="AF916" s="105"/>
      <c r="AG916" s="105"/>
      <c r="AH916" s="105"/>
      <c r="AI916" s="105"/>
      <c r="AJ916" s="105"/>
      <c r="AK916" s="105"/>
      <c r="AL916" s="105"/>
      <c r="AM916" s="105"/>
    </row>
    <row r="917" spans="1:39" ht="15">
      <c r="A917" s="62" t="s">
        <v>266</v>
      </c>
      <c r="B917" s="62" t="s">
        <v>259</v>
      </c>
      <c r="C917" s="63" t="s">
        <v>3598</v>
      </c>
      <c r="D917" s="64">
        <v>5.2631578947368425</v>
      </c>
      <c r="E917" s="65" t="s">
        <v>136</v>
      </c>
      <c r="F917" s="66">
        <v>31.50943396226415</v>
      </c>
      <c r="G917" s="63"/>
      <c r="H917" s="67"/>
      <c r="I917" s="68"/>
      <c r="J917" s="68"/>
      <c r="K917" s="31" t="s">
        <v>65</v>
      </c>
      <c r="L917" s="76">
        <v>917</v>
      </c>
      <c r="M917" s="76"/>
      <c r="N917" s="70"/>
      <c r="O917" s="78" t="s">
        <v>305</v>
      </c>
      <c r="P917" s="78" t="s">
        <v>573</v>
      </c>
      <c r="Q917" s="78" t="s">
        <v>1117</v>
      </c>
      <c r="R917" s="78" t="s">
        <v>1560</v>
      </c>
      <c r="S917" s="78"/>
      <c r="T917" s="78"/>
      <c r="U917" s="78"/>
      <c r="V917" s="78"/>
      <c r="W917" s="81" t="s">
        <v>1674</v>
      </c>
      <c r="X917" s="81" t="s">
        <v>1674</v>
      </c>
      <c r="Y917" s="78"/>
      <c r="Z917" s="78"/>
      <c r="AA917" s="81" t="s">
        <v>1674</v>
      </c>
      <c r="AB917" s="79">
        <v>2</v>
      </c>
      <c r="AC917" s="80" t="str">
        <f>REPLACE(INDEX(GroupVertices[Group],MATCH("~"&amp;Edges[[#This Row],[Vertex 1]],GroupVertices[Vertex],0)),1,1,"")</f>
        <v>1</v>
      </c>
      <c r="AD917" s="80" t="str">
        <f>REPLACE(INDEX(GroupVertices[Group],MATCH("~"&amp;Edges[[#This Row],[Vertex 2]],GroupVertices[Vertex],0)),1,1,"")</f>
        <v>1</v>
      </c>
      <c r="AE917" s="105"/>
      <c r="AF917" s="105"/>
      <c r="AG917" s="105"/>
      <c r="AH917" s="105"/>
      <c r="AI917" s="105"/>
      <c r="AJ917" s="105"/>
      <c r="AK917" s="105"/>
      <c r="AL917" s="105"/>
      <c r="AM917" s="105"/>
    </row>
    <row r="918" spans="1:39" ht="15">
      <c r="A918" s="62" t="s">
        <v>286</v>
      </c>
      <c r="B918" s="62" t="s">
        <v>259</v>
      </c>
      <c r="C918" s="63" t="s">
        <v>3603</v>
      </c>
      <c r="D918" s="64">
        <v>5.7894736842105265</v>
      </c>
      <c r="E918" s="65" t="s">
        <v>136</v>
      </c>
      <c r="F918" s="66">
        <v>30.528301886792452</v>
      </c>
      <c r="G918" s="63"/>
      <c r="H918" s="67"/>
      <c r="I918" s="68"/>
      <c r="J918" s="68"/>
      <c r="K918" s="31" t="s">
        <v>65</v>
      </c>
      <c r="L918" s="76">
        <v>918</v>
      </c>
      <c r="M918" s="76"/>
      <c r="N918" s="70"/>
      <c r="O918" s="78" t="s">
        <v>305</v>
      </c>
      <c r="P918" s="78" t="s">
        <v>574</v>
      </c>
      <c r="Q918" s="78" t="s">
        <v>1118</v>
      </c>
      <c r="R918" s="78" t="s">
        <v>1561</v>
      </c>
      <c r="S918" s="78"/>
      <c r="T918" s="78"/>
      <c r="U918" s="78"/>
      <c r="V918" s="78"/>
      <c r="W918" s="81" t="s">
        <v>1674</v>
      </c>
      <c r="X918" s="81" t="s">
        <v>1674</v>
      </c>
      <c r="Y918" s="78"/>
      <c r="Z918" s="78"/>
      <c r="AA918" s="81" t="s">
        <v>1674</v>
      </c>
      <c r="AB918" s="79">
        <v>4</v>
      </c>
      <c r="AC918" s="80" t="str">
        <f>REPLACE(INDEX(GroupVertices[Group],MATCH("~"&amp;Edges[[#This Row],[Vertex 1]],GroupVertices[Vertex],0)),1,1,"")</f>
        <v>3</v>
      </c>
      <c r="AD918" s="80" t="str">
        <f>REPLACE(INDEX(GroupVertices[Group],MATCH("~"&amp;Edges[[#This Row],[Vertex 2]],GroupVertices[Vertex],0)),1,1,"")</f>
        <v>1</v>
      </c>
      <c r="AE918" s="105"/>
      <c r="AF918" s="105"/>
      <c r="AG918" s="105"/>
      <c r="AH918" s="105"/>
      <c r="AI918" s="105"/>
      <c r="AJ918" s="105"/>
      <c r="AK918" s="105"/>
      <c r="AL918" s="105"/>
      <c r="AM918" s="105"/>
    </row>
    <row r="919" spans="1:39" ht="15">
      <c r="A919" s="62" t="s">
        <v>286</v>
      </c>
      <c r="B919" s="62" t="s">
        <v>259</v>
      </c>
      <c r="C919" s="63" t="s">
        <v>3603</v>
      </c>
      <c r="D919" s="64">
        <v>5.7894736842105265</v>
      </c>
      <c r="E919" s="65" t="s">
        <v>136</v>
      </c>
      <c r="F919" s="66">
        <v>30.528301886792452</v>
      </c>
      <c r="G919" s="63"/>
      <c r="H919" s="67"/>
      <c r="I919" s="68"/>
      <c r="J919" s="68"/>
      <c r="K919" s="31" t="s">
        <v>65</v>
      </c>
      <c r="L919" s="76">
        <v>919</v>
      </c>
      <c r="M919" s="76"/>
      <c r="N919" s="70"/>
      <c r="O919" s="78" t="s">
        <v>305</v>
      </c>
      <c r="P919" s="78" t="s">
        <v>574</v>
      </c>
      <c r="Q919" s="78" t="s">
        <v>1119</v>
      </c>
      <c r="R919" s="78" t="s">
        <v>1561</v>
      </c>
      <c r="S919" s="78"/>
      <c r="T919" s="78"/>
      <c r="U919" s="78"/>
      <c r="V919" s="78"/>
      <c r="W919" s="81" t="s">
        <v>1674</v>
      </c>
      <c r="X919" s="81" t="s">
        <v>1674</v>
      </c>
      <c r="Y919" s="78"/>
      <c r="Z919" s="78"/>
      <c r="AA919" s="81" t="s">
        <v>1674</v>
      </c>
      <c r="AB919" s="79">
        <v>4</v>
      </c>
      <c r="AC919" s="80" t="str">
        <f>REPLACE(INDEX(GroupVertices[Group],MATCH("~"&amp;Edges[[#This Row],[Vertex 1]],GroupVertices[Vertex],0)),1,1,"")</f>
        <v>3</v>
      </c>
      <c r="AD919" s="80" t="str">
        <f>REPLACE(INDEX(GroupVertices[Group],MATCH("~"&amp;Edges[[#This Row],[Vertex 2]],GroupVertices[Vertex],0)),1,1,"")</f>
        <v>1</v>
      </c>
      <c r="AE919" s="105"/>
      <c r="AF919" s="105"/>
      <c r="AG919" s="105"/>
      <c r="AH919" s="105"/>
      <c r="AI919" s="105"/>
      <c r="AJ919" s="105"/>
      <c r="AK919" s="105"/>
      <c r="AL919" s="105"/>
      <c r="AM919" s="105"/>
    </row>
    <row r="920" spans="1:39" ht="15">
      <c r="A920" s="62" t="s">
        <v>286</v>
      </c>
      <c r="B920" s="62" t="s">
        <v>259</v>
      </c>
      <c r="C920" s="63" t="s">
        <v>3603</v>
      </c>
      <c r="D920" s="64">
        <v>5.7894736842105265</v>
      </c>
      <c r="E920" s="65" t="s">
        <v>136</v>
      </c>
      <c r="F920" s="66">
        <v>30.528301886792452</v>
      </c>
      <c r="G920" s="63"/>
      <c r="H920" s="67"/>
      <c r="I920" s="68"/>
      <c r="J920" s="68"/>
      <c r="K920" s="31" t="s">
        <v>65</v>
      </c>
      <c r="L920" s="76">
        <v>920</v>
      </c>
      <c r="M920" s="76"/>
      <c r="N920" s="70"/>
      <c r="O920" s="78" t="s">
        <v>305</v>
      </c>
      <c r="P920" s="78" t="s">
        <v>574</v>
      </c>
      <c r="Q920" s="78" t="s">
        <v>1120</v>
      </c>
      <c r="R920" s="78" t="s">
        <v>1561</v>
      </c>
      <c r="S920" s="78"/>
      <c r="T920" s="78"/>
      <c r="U920" s="78"/>
      <c r="V920" s="78"/>
      <c r="W920" s="81" t="s">
        <v>1674</v>
      </c>
      <c r="X920" s="81" t="s">
        <v>1674</v>
      </c>
      <c r="Y920" s="78"/>
      <c r="Z920" s="78"/>
      <c r="AA920" s="81" t="s">
        <v>1674</v>
      </c>
      <c r="AB920" s="79">
        <v>4</v>
      </c>
      <c r="AC920" s="80" t="str">
        <f>REPLACE(INDEX(GroupVertices[Group],MATCH("~"&amp;Edges[[#This Row],[Vertex 1]],GroupVertices[Vertex],0)),1,1,"")</f>
        <v>3</v>
      </c>
      <c r="AD920" s="80" t="str">
        <f>REPLACE(INDEX(GroupVertices[Group],MATCH("~"&amp;Edges[[#This Row],[Vertex 2]],GroupVertices[Vertex],0)),1,1,"")</f>
        <v>1</v>
      </c>
      <c r="AE920" s="105"/>
      <c r="AF920" s="105"/>
      <c r="AG920" s="105"/>
      <c r="AH920" s="105"/>
      <c r="AI920" s="105"/>
      <c r="AJ920" s="105"/>
      <c r="AK920" s="105"/>
      <c r="AL920" s="105"/>
      <c r="AM920" s="105"/>
    </row>
    <row r="921" spans="1:39" ht="15">
      <c r="A921" s="62" t="s">
        <v>286</v>
      </c>
      <c r="B921" s="62" t="s">
        <v>259</v>
      </c>
      <c r="C921" s="63" t="s">
        <v>3603</v>
      </c>
      <c r="D921" s="64">
        <v>5.7894736842105265</v>
      </c>
      <c r="E921" s="65" t="s">
        <v>136</v>
      </c>
      <c r="F921" s="66">
        <v>30.528301886792452</v>
      </c>
      <c r="G921" s="63"/>
      <c r="H921" s="67"/>
      <c r="I921" s="68"/>
      <c r="J921" s="68"/>
      <c r="K921" s="31" t="s">
        <v>65</v>
      </c>
      <c r="L921" s="76">
        <v>921</v>
      </c>
      <c r="M921" s="76"/>
      <c r="N921" s="70"/>
      <c r="O921" s="78" t="s">
        <v>305</v>
      </c>
      <c r="P921" s="78" t="s">
        <v>574</v>
      </c>
      <c r="Q921" s="78" t="s">
        <v>1121</v>
      </c>
      <c r="R921" s="78" t="s">
        <v>1561</v>
      </c>
      <c r="S921" s="78"/>
      <c r="T921" s="78"/>
      <c r="U921" s="78"/>
      <c r="V921" s="78"/>
      <c r="W921" s="81" t="s">
        <v>1674</v>
      </c>
      <c r="X921" s="81" t="s">
        <v>1674</v>
      </c>
      <c r="Y921" s="78"/>
      <c r="Z921" s="78"/>
      <c r="AA921" s="81" t="s">
        <v>1674</v>
      </c>
      <c r="AB921" s="79">
        <v>4</v>
      </c>
      <c r="AC921" s="80" t="str">
        <f>REPLACE(INDEX(GroupVertices[Group],MATCH("~"&amp;Edges[[#This Row],[Vertex 1]],GroupVertices[Vertex],0)),1,1,"")</f>
        <v>3</v>
      </c>
      <c r="AD921" s="80" t="str">
        <f>REPLACE(INDEX(GroupVertices[Group],MATCH("~"&amp;Edges[[#This Row],[Vertex 2]],GroupVertices[Vertex],0)),1,1,"")</f>
        <v>1</v>
      </c>
      <c r="AE921" s="105"/>
      <c r="AF921" s="105"/>
      <c r="AG921" s="105"/>
      <c r="AH921" s="105"/>
      <c r="AI921" s="105"/>
      <c r="AJ921" s="105"/>
      <c r="AK921" s="105"/>
      <c r="AL921" s="105"/>
      <c r="AM921" s="105"/>
    </row>
    <row r="922" spans="1:39" ht="15">
      <c r="A922" s="62" t="s">
        <v>279</v>
      </c>
      <c r="B922" s="62" t="s">
        <v>294</v>
      </c>
      <c r="C922" s="63" t="s">
        <v>3598</v>
      </c>
      <c r="D922" s="64">
        <v>5</v>
      </c>
      <c r="E922" s="65" t="s">
        <v>132</v>
      </c>
      <c r="F922" s="66">
        <v>32</v>
      </c>
      <c r="G922" s="63"/>
      <c r="H922" s="67"/>
      <c r="I922" s="68"/>
      <c r="J922" s="68"/>
      <c r="K922" s="31" t="s">
        <v>65</v>
      </c>
      <c r="L922" s="76">
        <v>922</v>
      </c>
      <c r="M922" s="76"/>
      <c r="N922" s="70"/>
      <c r="O922" s="78" t="s">
        <v>305</v>
      </c>
      <c r="P922" s="78" t="s">
        <v>575</v>
      </c>
      <c r="Q922" s="78" t="s">
        <v>1122</v>
      </c>
      <c r="R922" s="78" t="s">
        <v>1562</v>
      </c>
      <c r="S922" s="78"/>
      <c r="T922" s="78"/>
      <c r="U922" s="78"/>
      <c r="V922" s="78"/>
      <c r="W922" s="81" t="s">
        <v>1674</v>
      </c>
      <c r="X922" s="81" t="s">
        <v>1674</v>
      </c>
      <c r="Y922" s="78"/>
      <c r="Z922" s="78"/>
      <c r="AA922" s="81" t="s">
        <v>1674</v>
      </c>
      <c r="AB922" s="79">
        <v>1</v>
      </c>
      <c r="AC922" s="80" t="str">
        <f>REPLACE(INDEX(GroupVertices[Group],MATCH("~"&amp;Edges[[#This Row],[Vertex 1]],GroupVertices[Vertex],0)),1,1,"")</f>
        <v>3</v>
      </c>
      <c r="AD922" s="80" t="str">
        <f>REPLACE(INDEX(GroupVertices[Group],MATCH("~"&amp;Edges[[#This Row],[Vertex 2]],GroupVertices[Vertex],0)),1,1,"")</f>
        <v>2</v>
      </c>
      <c r="AE922" s="105"/>
      <c r="AF922" s="105"/>
      <c r="AG922" s="105"/>
      <c r="AH922" s="105"/>
      <c r="AI922" s="105"/>
      <c r="AJ922" s="105"/>
      <c r="AK922" s="105"/>
      <c r="AL922" s="105"/>
      <c r="AM922" s="105"/>
    </row>
    <row r="923" spans="1:39" ht="15">
      <c r="A923" s="62" t="s">
        <v>279</v>
      </c>
      <c r="B923" s="62" t="s">
        <v>303</v>
      </c>
      <c r="C923" s="63" t="s">
        <v>3598</v>
      </c>
      <c r="D923" s="64">
        <v>5</v>
      </c>
      <c r="E923" s="65" t="s">
        <v>132</v>
      </c>
      <c r="F923" s="66">
        <v>32</v>
      </c>
      <c r="G923" s="63"/>
      <c r="H923" s="67"/>
      <c r="I923" s="68"/>
      <c r="J923" s="68"/>
      <c r="K923" s="31" t="s">
        <v>65</v>
      </c>
      <c r="L923" s="76">
        <v>923</v>
      </c>
      <c r="M923" s="76"/>
      <c r="N923" s="70"/>
      <c r="O923" s="78" t="s">
        <v>305</v>
      </c>
      <c r="P923" s="78" t="s">
        <v>483</v>
      </c>
      <c r="Q923" s="78" t="s">
        <v>968</v>
      </c>
      <c r="R923" s="78" t="s">
        <v>1457</v>
      </c>
      <c r="S923" s="78"/>
      <c r="T923" s="78"/>
      <c r="U923" s="78"/>
      <c r="V923" s="78"/>
      <c r="W923" s="81" t="s">
        <v>1674</v>
      </c>
      <c r="X923" s="81" t="s">
        <v>1674</v>
      </c>
      <c r="Y923" s="78"/>
      <c r="Z923" s="78"/>
      <c r="AA923" s="81" t="s">
        <v>1674</v>
      </c>
      <c r="AB923" s="79">
        <v>1</v>
      </c>
      <c r="AC923" s="80" t="str">
        <f>REPLACE(INDEX(GroupVertices[Group],MATCH("~"&amp;Edges[[#This Row],[Vertex 1]],GroupVertices[Vertex],0)),1,1,"")</f>
        <v>3</v>
      </c>
      <c r="AD923" s="80" t="str">
        <f>REPLACE(INDEX(GroupVertices[Group],MATCH("~"&amp;Edges[[#This Row],[Vertex 2]],GroupVertices[Vertex],0)),1,1,"")</f>
        <v>3</v>
      </c>
      <c r="AE923" s="105"/>
      <c r="AF923" s="105"/>
      <c r="AG923" s="105"/>
      <c r="AH923" s="105"/>
      <c r="AI923" s="105"/>
      <c r="AJ923" s="105"/>
      <c r="AK923" s="105"/>
      <c r="AL923" s="105"/>
      <c r="AM923" s="105"/>
    </row>
    <row r="924" spans="1:39" ht="15">
      <c r="A924" s="62" t="s">
        <v>279</v>
      </c>
      <c r="B924" s="62" t="s">
        <v>251</v>
      </c>
      <c r="C924" s="63" t="s">
        <v>3598</v>
      </c>
      <c r="D924" s="64">
        <v>5</v>
      </c>
      <c r="E924" s="65" t="s">
        <v>132</v>
      </c>
      <c r="F924" s="66">
        <v>32</v>
      </c>
      <c r="G924" s="63"/>
      <c r="H924" s="67"/>
      <c r="I924" s="68"/>
      <c r="J924" s="68"/>
      <c r="K924" s="31" t="s">
        <v>65</v>
      </c>
      <c r="L924" s="76">
        <v>924</v>
      </c>
      <c r="M924" s="76"/>
      <c r="N924" s="70"/>
      <c r="O924" s="78" t="s">
        <v>305</v>
      </c>
      <c r="P924" s="78" t="s">
        <v>567</v>
      </c>
      <c r="Q924" s="78" t="s">
        <v>1106</v>
      </c>
      <c r="R924" s="78" t="s">
        <v>1554</v>
      </c>
      <c r="S924" s="78"/>
      <c r="T924" s="78"/>
      <c r="U924" s="78"/>
      <c r="V924" s="78"/>
      <c r="W924" s="81" t="s">
        <v>1674</v>
      </c>
      <c r="X924" s="81" t="s">
        <v>1674</v>
      </c>
      <c r="Y924" s="78"/>
      <c r="Z924" s="78"/>
      <c r="AA924" s="81" t="s">
        <v>1674</v>
      </c>
      <c r="AB924" s="79">
        <v>1</v>
      </c>
      <c r="AC924" s="80" t="str">
        <f>REPLACE(INDEX(GroupVertices[Group],MATCH("~"&amp;Edges[[#This Row],[Vertex 1]],GroupVertices[Vertex],0)),1,1,"")</f>
        <v>3</v>
      </c>
      <c r="AD924" s="80" t="str">
        <f>REPLACE(INDEX(GroupVertices[Group],MATCH("~"&amp;Edges[[#This Row],[Vertex 2]],GroupVertices[Vertex],0)),1,1,"")</f>
        <v>3</v>
      </c>
      <c r="AE924" s="105"/>
      <c r="AF924" s="105"/>
      <c r="AG924" s="105"/>
      <c r="AH924" s="105"/>
      <c r="AI924" s="105"/>
      <c r="AJ924" s="105"/>
      <c r="AK924" s="105"/>
      <c r="AL924" s="105"/>
      <c r="AM924" s="105"/>
    </row>
    <row r="925" spans="1:39" ht="15">
      <c r="A925" s="62" t="s">
        <v>279</v>
      </c>
      <c r="B925" s="62" t="s">
        <v>263</v>
      </c>
      <c r="C925" s="63" t="s">
        <v>3598</v>
      </c>
      <c r="D925" s="64">
        <v>5.2631578947368425</v>
      </c>
      <c r="E925" s="65" t="s">
        <v>136</v>
      </c>
      <c r="F925" s="66">
        <v>31.50943396226415</v>
      </c>
      <c r="G925" s="63"/>
      <c r="H925" s="67"/>
      <c r="I925" s="68"/>
      <c r="J925" s="68"/>
      <c r="K925" s="31" t="s">
        <v>65</v>
      </c>
      <c r="L925" s="76">
        <v>925</v>
      </c>
      <c r="M925" s="76"/>
      <c r="N925" s="70"/>
      <c r="O925" s="78" t="s">
        <v>305</v>
      </c>
      <c r="P925" s="78" t="s">
        <v>483</v>
      </c>
      <c r="Q925" s="78" t="s">
        <v>968</v>
      </c>
      <c r="R925" s="78" t="s">
        <v>964</v>
      </c>
      <c r="S925" s="78"/>
      <c r="T925" s="78"/>
      <c r="U925" s="78"/>
      <c r="V925" s="78"/>
      <c r="W925" s="81" t="s">
        <v>1674</v>
      </c>
      <c r="X925" s="81" t="s">
        <v>1674</v>
      </c>
      <c r="Y925" s="78"/>
      <c r="Z925" s="78"/>
      <c r="AA925" s="81" t="s">
        <v>1674</v>
      </c>
      <c r="AB925" s="79">
        <v>2</v>
      </c>
      <c r="AC925" s="80" t="str">
        <f>REPLACE(INDEX(GroupVertices[Group],MATCH("~"&amp;Edges[[#This Row],[Vertex 1]],GroupVertices[Vertex],0)),1,1,"")</f>
        <v>3</v>
      </c>
      <c r="AD925" s="80" t="str">
        <f>REPLACE(INDEX(GroupVertices[Group],MATCH("~"&amp;Edges[[#This Row],[Vertex 2]],GroupVertices[Vertex],0)),1,1,"")</f>
        <v>3</v>
      </c>
      <c r="AE925" s="105"/>
      <c r="AF925" s="105"/>
      <c r="AG925" s="105"/>
      <c r="AH925" s="105"/>
      <c r="AI925" s="105"/>
      <c r="AJ925" s="105"/>
      <c r="AK925" s="105"/>
      <c r="AL925" s="105"/>
      <c r="AM925" s="105"/>
    </row>
    <row r="926" spans="1:39" ht="15">
      <c r="A926" s="62" t="s">
        <v>279</v>
      </c>
      <c r="B926" s="62" t="s">
        <v>263</v>
      </c>
      <c r="C926" s="63" t="s">
        <v>3598</v>
      </c>
      <c r="D926" s="64">
        <v>5.2631578947368425</v>
      </c>
      <c r="E926" s="65" t="s">
        <v>136</v>
      </c>
      <c r="F926" s="66">
        <v>31.50943396226415</v>
      </c>
      <c r="G926" s="63"/>
      <c r="H926" s="67"/>
      <c r="I926" s="68"/>
      <c r="J926" s="68"/>
      <c r="K926" s="31" t="s">
        <v>65</v>
      </c>
      <c r="L926" s="76">
        <v>926</v>
      </c>
      <c r="M926" s="76"/>
      <c r="N926" s="70"/>
      <c r="O926" s="78" t="s">
        <v>305</v>
      </c>
      <c r="P926" s="78" t="s">
        <v>483</v>
      </c>
      <c r="Q926" s="78" t="s">
        <v>968</v>
      </c>
      <c r="R926" s="78" t="s">
        <v>965</v>
      </c>
      <c r="S926" s="78"/>
      <c r="T926" s="78"/>
      <c r="U926" s="78"/>
      <c r="V926" s="78"/>
      <c r="W926" s="81" t="s">
        <v>1674</v>
      </c>
      <c r="X926" s="81" t="s">
        <v>1674</v>
      </c>
      <c r="Y926" s="78"/>
      <c r="Z926" s="78"/>
      <c r="AA926" s="81" t="s">
        <v>1674</v>
      </c>
      <c r="AB926" s="79">
        <v>2</v>
      </c>
      <c r="AC926" s="80" t="str">
        <f>REPLACE(INDEX(GroupVertices[Group],MATCH("~"&amp;Edges[[#This Row],[Vertex 1]],GroupVertices[Vertex],0)),1,1,"")</f>
        <v>3</v>
      </c>
      <c r="AD926" s="80" t="str">
        <f>REPLACE(INDEX(GroupVertices[Group],MATCH("~"&amp;Edges[[#This Row],[Vertex 2]],GroupVertices[Vertex],0)),1,1,"")</f>
        <v>3</v>
      </c>
      <c r="AE926" s="105"/>
      <c r="AF926" s="105"/>
      <c r="AG926" s="105"/>
      <c r="AH926" s="105"/>
      <c r="AI926" s="105"/>
      <c r="AJ926" s="105"/>
      <c r="AK926" s="105"/>
      <c r="AL926" s="105"/>
      <c r="AM926" s="105"/>
    </row>
    <row r="927" spans="1:39" ht="15">
      <c r="A927" s="62" t="s">
        <v>279</v>
      </c>
      <c r="B927" s="62" t="s">
        <v>258</v>
      </c>
      <c r="C927" s="63" t="s">
        <v>3598</v>
      </c>
      <c r="D927" s="64">
        <v>5</v>
      </c>
      <c r="E927" s="65" t="s">
        <v>132</v>
      </c>
      <c r="F927" s="66">
        <v>32</v>
      </c>
      <c r="G927" s="63"/>
      <c r="H927" s="67"/>
      <c r="I927" s="68"/>
      <c r="J927" s="68"/>
      <c r="K927" s="31" t="s">
        <v>65</v>
      </c>
      <c r="L927" s="76">
        <v>927</v>
      </c>
      <c r="M927" s="76"/>
      <c r="N927" s="70"/>
      <c r="O927" s="78" t="s">
        <v>305</v>
      </c>
      <c r="P927" s="78" t="s">
        <v>576</v>
      </c>
      <c r="Q927" s="78" t="s">
        <v>1123</v>
      </c>
      <c r="R927" s="78" t="s">
        <v>1563</v>
      </c>
      <c r="S927" s="78"/>
      <c r="T927" s="78"/>
      <c r="U927" s="78"/>
      <c r="V927" s="78"/>
      <c r="W927" s="81" t="s">
        <v>1674</v>
      </c>
      <c r="X927" s="81" t="s">
        <v>1674</v>
      </c>
      <c r="Y927" s="78"/>
      <c r="Z927" s="78"/>
      <c r="AA927" s="81" t="s">
        <v>1674</v>
      </c>
      <c r="AB927" s="79">
        <v>1</v>
      </c>
      <c r="AC927" s="80" t="str">
        <f>REPLACE(INDEX(GroupVertices[Group],MATCH("~"&amp;Edges[[#This Row],[Vertex 1]],GroupVertices[Vertex],0)),1,1,"")</f>
        <v>3</v>
      </c>
      <c r="AD927" s="80" t="str">
        <f>REPLACE(INDEX(GroupVertices[Group],MATCH("~"&amp;Edges[[#This Row],[Vertex 2]],GroupVertices[Vertex],0)),1,1,"")</f>
        <v>1</v>
      </c>
      <c r="AE927" s="105"/>
      <c r="AF927" s="105"/>
      <c r="AG927" s="105"/>
      <c r="AH927" s="105"/>
      <c r="AI927" s="105"/>
      <c r="AJ927" s="105"/>
      <c r="AK927" s="105"/>
      <c r="AL927" s="105"/>
      <c r="AM927" s="105"/>
    </row>
    <row r="928" spans="1:39" ht="15">
      <c r="A928" s="62" t="s">
        <v>279</v>
      </c>
      <c r="B928" s="62" t="s">
        <v>277</v>
      </c>
      <c r="C928" s="63" t="s">
        <v>3599</v>
      </c>
      <c r="D928" s="64">
        <v>6.315789473684211</v>
      </c>
      <c r="E928" s="65" t="s">
        <v>136</v>
      </c>
      <c r="F928" s="66">
        <v>29.547169811320757</v>
      </c>
      <c r="G928" s="63"/>
      <c r="H928" s="67"/>
      <c r="I928" s="68"/>
      <c r="J928" s="68"/>
      <c r="K928" s="31" t="s">
        <v>65</v>
      </c>
      <c r="L928" s="76">
        <v>928</v>
      </c>
      <c r="M928" s="76"/>
      <c r="N928" s="70"/>
      <c r="O928" s="78" t="s">
        <v>305</v>
      </c>
      <c r="P928" s="78" t="s">
        <v>577</v>
      </c>
      <c r="Q928" s="78" t="s">
        <v>1124</v>
      </c>
      <c r="R928" s="78" t="s">
        <v>1564</v>
      </c>
      <c r="S928" s="78"/>
      <c r="T928" s="78"/>
      <c r="U928" s="78"/>
      <c r="V928" s="78"/>
      <c r="W928" s="81" t="s">
        <v>1674</v>
      </c>
      <c r="X928" s="81" t="s">
        <v>1674</v>
      </c>
      <c r="Y928" s="78"/>
      <c r="Z928" s="78"/>
      <c r="AA928" s="81" t="s">
        <v>1674</v>
      </c>
      <c r="AB928" s="79">
        <v>6</v>
      </c>
      <c r="AC928" s="80" t="str">
        <f>REPLACE(INDEX(GroupVertices[Group],MATCH("~"&amp;Edges[[#This Row],[Vertex 1]],GroupVertices[Vertex],0)),1,1,"")</f>
        <v>3</v>
      </c>
      <c r="AD928" s="80" t="str">
        <f>REPLACE(INDEX(GroupVertices[Group],MATCH("~"&amp;Edges[[#This Row],[Vertex 2]],GroupVertices[Vertex],0)),1,1,"")</f>
        <v>1</v>
      </c>
      <c r="AE928" s="105"/>
      <c r="AF928" s="105"/>
      <c r="AG928" s="105"/>
      <c r="AH928" s="105"/>
      <c r="AI928" s="105"/>
      <c r="AJ928" s="105"/>
      <c r="AK928" s="105"/>
      <c r="AL928" s="105"/>
      <c r="AM928" s="105"/>
    </row>
    <row r="929" spans="1:39" ht="15">
      <c r="A929" s="62" t="s">
        <v>279</v>
      </c>
      <c r="B929" s="62" t="s">
        <v>277</v>
      </c>
      <c r="C929" s="63" t="s">
        <v>3599</v>
      </c>
      <c r="D929" s="64">
        <v>6.315789473684211</v>
      </c>
      <c r="E929" s="65" t="s">
        <v>136</v>
      </c>
      <c r="F929" s="66">
        <v>29.547169811320757</v>
      </c>
      <c r="G929" s="63"/>
      <c r="H929" s="67"/>
      <c r="I929" s="68"/>
      <c r="J929" s="68"/>
      <c r="K929" s="31" t="s">
        <v>65</v>
      </c>
      <c r="L929" s="76">
        <v>929</v>
      </c>
      <c r="M929" s="76"/>
      <c r="N929" s="70"/>
      <c r="O929" s="78" t="s">
        <v>305</v>
      </c>
      <c r="P929" s="78" t="s">
        <v>479</v>
      </c>
      <c r="Q929" s="78" t="s">
        <v>955</v>
      </c>
      <c r="R929" s="78" t="s">
        <v>956</v>
      </c>
      <c r="S929" s="78"/>
      <c r="T929" s="78"/>
      <c r="U929" s="78"/>
      <c r="V929" s="78"/>
      <c r="W929" s="81" t="s">
        <v>1674</v>
      </c>
      <c r="X929" s="81" t="s">
        <v>1674</v>
      </c>
      <c r="Y929" s="78"/>
      <c r="Z929" s="78"/>
      <c r="AA929" s="81" t="s">
        <v>1674</v>
      </c>
      <c r="AB929" s="79">
        <v>6</v>
      </c>
      <c r="AC929" s="80" t="str">
        <f>REPLACE(INDEX(GroupVertices[Group],MATCH("~"&amp;Edges[[#This Row],[Vertex 1]],GroupVertices[Vertex],0)),1,1,"")</f>
        <v>3</v>
      </c>
      <c r="AD929" s="80" t="str">
        <f>REPLACE(INDEX(GroupVertices[Group],MATCH("~"&amp;Edges[[#This Row],[Vertex 2]],GroupVertices[Vertex],0)),1,1,"")</f>
        <v>1</v>
      </c>
      <c r="AE929" s="105"/>
      <c r="AF929" s="105"/>
      <c r="AG929" s="105"/>
      <c r="AH929" s="105"/>
      <c r="AI929" s="105"/>
      <c r="AJ929" s="105"/>
      <c r="AK929" s="105"/>
      <c r="AL929" s="105"/>
      <c r="AM929" s="105"/>
    </row>
    <row r="930" spans="1:39" ht="15">
      <c r="A930" s="62" t="s">
        <v>279</v>
      </c>
      <c r="B930" s="62" t="s">
        <v>277</v>
      </c>
      <c r="C930" s="63" t="s">
        <v>3599</v>
      </c>
      <c r="D930" s="64">
        <v>6.315789473684211</v>
      </c>
      <c r="E930" s="65" t="s">
        <v>136</v>
      </c>
      <c r="F930" s="66">
        <v>29.547169811320757</v>
      </c>
      <c r="G930" s="63"/>
      <c r="H930" s="67"/>
      <c r="I930" s="68"/>
      <c r="J930" s="68"/>
      <c r="K930" s="31" t="s">
        <v>65</v>
      </c>
      <c r="L930" s="76">
        <v>930</v>
      </c>
      <c r="M930" s="76"/>
      <c r="N930" s="70"/>
      <c r="O930" s="78" t="s">
        <v>305</v>
      </c>
      <c r="P930" s="78" t="s">
        <v>578</v>
      </c>
      <c r="Q930" s="78" t="s">
        <v>1125</v>
      </c>
      <c r="R930" s="78" t="s">
        <v>1565</v>
      </c>
      <c r="S930" s="78"/>
      <c r="T930" s="78"/>
      <c r="U930" s="78"/>
      <c r="V930" s="78"/>
      <c r="W930" s="81" t="s">
        <v>1674</v>
      </c>
      <c r="X930" s="81" t="s">
        <v>1674</v>
      </c>
      <c r="Y930" s="78"/>
      <c r="Z930" s="78"/>
      <c r="AA930" s="81" t="s">
        <v>1674</v>
      </c>
      <c r="AB930" s="79">
        <v>6</v>
      </c>
      <c r="AC930" s="80" t="str">
        <f>REPLACE(INDEX(GroupVertices[Group],MATCH("~"&amp;Edges[[#This Row],[Vertex 1]],GroupVertices[Vertex],0)),1,1,"")</f>
        <v>3</v>
      </c>
      <c r="AD930" s="80" t="str">
        <f>REPLACE(INDEX(GroupVertices[Group],MATCH("~"&amp;Edges[[#This Row],[Vertex 2]],GroupVertices[Vertex],0)),1,1,"")</f>
        <v>1</v>
      </c>
      <c r="AE930" s="105"/>
      <c r="AF930" s="105"/>
      <c r="AG930" s="105"/>
      <c r="AH930" s="105"/>
      <c r="AI930" s="105"/>
      <c r="AJ930" s="105"/>
      <c r="AK930" s="105"/>
      <c r="AL930" s="105"/>
      <c r="AM930" s="105"/>
    </row>
    <row r="931" spans="1:39" ht="15">
      <c r="A931" s="62" t="s">
        <v>279</v>
      </c>
      <c r="B931" s="62" t="s">
        <v>277</v>
      </c>
      <c r="C931" s="63" t="s">
        <v>3599</v>
      </c>
      <c r="D931" s="64">
        <v>6.315789473684211</v>
      </c>
      <c r="E931" s="65" t="s">
        <v>136</v>
      </c>
      <c r="F931" s="66">
        <v>29.547169811320757</v>
      </c>
      <c r="G931" s="63"/>
      <c r="H931" s="67"/>
      <c r="I931" s="68"/>
      <c r="J931" s="68"/>
      <c r="K931" s="31" t="s">
        <v>65</v>
      </c>
      <c r="L931" s="76">
        <v>931</v>
      </c>
      <c r="M931" s="76"/>
      <c r="N931" s="70"/>
      <c r="O931" s="78" t="s">
        <v>305</v>
      </c>
      <c r="P931" s="78" t="s">
        <v>578</v>
      </c>
      <c r="Q931" s="78" t="s">
        <v>1126</v>
      </c>
      <c r="R931" s="78" t="s">
        <v>1565</v>
      </c>
      <c r="S931" s="78"/>
      <c r="T931" s="78"/>
      <c r="U931" s="78"/>
      <c r="V931" s="78"/>
      <c r="W931" s="81" t="s">
        <v>1674</v>
      </c>
      <c r="X931" s="81" t="s">
        <v>1674</v>
      </c>
      <c r="Y931" s="78"/>
      <c r="Z931" s="78"/>
      <c r="AA931" s="81" t="s">
        <v>1674</v>
      </c>
      <c r="AB931" s="79">
        <v>6</v>
      </c>
      <c r="AC931" s="80" t="str">
        <f>REPLACE(INDEX(GroupVertices[Group],MATCH("~"&amp;Edges[[#This Row],[Vertex 1]],GroupVertices[Vertex],0)),1,1,"")</f>
        <v>3</v>
      </c>
      <c r="AD931" s="80" t="str">
        <f>REPLACE(INDEX(GroupVertices[Group],MATCH("~"&amp;Edges[[#This Row],[Vertex 2]],GroupVertices[Vertex],0)),1,1,"")</f>
        <v>1</v>
      </c>
      <c r="AE931" s="105"/>
      <c r="AF931" s="105"/>
      <c r="AG931" s="105"/>
      <c r="AH931" s="105"/>
      <c r="AI931" s="105"/>
      <c r="AJ931" s="105"/>
      <c r="AK931" s="105"/>
      <c r="AL931" s="105"/>
      <c r="AM931" s="105"/>
    </row>
    <row r="932" spans="1:39" ht="15">
      <c r="A932" s="62" t="s">
        <v>279</v>
      </c>
      <c r="B932" s="62" t="s">
        <v>277</v>
      </c>
      <c r="C932" s="63" t="s">
        <v>3599</v>
      </c>
      <c r="D932" s="64">
        <v>6.315789473684211</v>
      </c>
      <c r="E932" s="65" t="s">
        <v>136</v>
      </c>
      <c r="F932" s="66">
        <v>29.547169811320757</v>
      </c>
      <c r="G932" s="63"/>
      <c r="H932" s="67"/>
      <c r="I932" s="68"/>
      <c r="J932" s="68"/>
      <c r="K932" s="31" t="s">
        <v>65</v>
      </c>
      <c r="L932" s="76">
        <v>932</v>
      </c>
      <c r="M932" s="76"/>
      <c r="N932" s="70"/>
      <c r="O932" s="78" t="s">
        <v>305</v>
      </c>
      <c r="P932" s="78" t="s">
        <v>578</v>
      </c>
      <c r="Q932" s="78" t="s">
        <v>1127</v>
      </c>
      <c r="R932" s="78" t="s">
        <v>1565</v>
      </c>
      <c r="S932" s="78"/>
      <c r="T932" s="78"/>
      <c r="U932" s="78"/>
      <c r="V932" s="78"/>
      <c r="W932" s="81" t="s">
        <v>1674</v>
      </c>
      <c r="X932" s="81" t="s">
        <v>1674</v>
      </c>
      <c r="Y932" s="78"/>
      <c r="Z932" s="78"/>
      <c r="AA932" s="81" t="s">
        <v>1674</v>
      </c>
      <c r="AB932" s="79">
        <v>6</v>
      </c>
      <c r="AC932" s="80" t="str">
        <f>REPLACE(INDEX(GroupVertices[Group],MATCH("~"&amp;Edges[[#This Row],[Vertex 1]],GroupVertices[Vertex],0)),1,1,"")</f>
        <v>3</v>
      </c>
      <c r="AD932" s="80" t="str">
        <f>REPLACE(INDEX(GroupVertices[Group],MATCH("~"&amp;Edges[[#This Row],[Vertex 2]],GroupVertices[Vertex],0)),1,1,"")</f>
        <v>1</v>
      </c>
      <c r="AE932" s="105"/>
      <c r="AF932" s="105"/>
      <c r="AG932" s="105"/>
      <c r="AH932" s="105"/>
      <c r="AI932" s="105"/>
      <c r="AJ932" s="105"/>
      <c r="AK932" s="105"/>
      <c r="AL932" s="105"/>
      <c r="AM932" s="105"/>
    </row>
    <row r="933" spans="1:39" ht="15">
      <c r="A933" s="62" t="s">
        <v>279</v>
      </c>
      <c r="B933" s="62" t="s">
        <v>277</v>
      </c>
      <c r="C933" s="63" t="s">
        <v>3599</v>
      </c>
      <c r="D933" s="64">
        <v>6.315789473684211</v>
      </c>
      <c r="E933" s="65" t="s">
        <v>136</v>
      </c>
      <c r="F933" s="66">
        <v>29.547169811320757</v>
      </c>
      <c r="G933" s="63"/>
      <c r="H933" s="67"/>
      <c r="I933" s="68"/>
      <c r="J933" s="68"/>
      <c r="K933" s="31" t="s">
        <v>65</v>
      </c>
      <c r="L933" s="76">
        <v>933</v>
      </c>
      <c r="M933" s="76"/>
      <c r="N933" s="70"/>
      <c r="O933" s="78" t="s">
        <v>305</v>
      </c>
      <c r="P933" s="78" t="s">
        <v>483</v>
      </c>
      <c r="Q933" s="78" t="s">
        <v>968</v>
      </c>
      <c r="R933" s="78" t="s">
        <v>967</v>
      </c>
      <c r="S933" s="78"/>
      <c r="T933" s="78"/>
      <c r="U933" s="78"/>
      <c r="V933" s="78"/>
      <c r="W933" s="81" t="s">
        <v>1674</v>
      </c>
      <c r="X933" s="81" t="s">
        <v>1674</v>
      </c>
      <c r="Y933" s="78"/>
      <c r="Z933" s="78"/>
      <c r="AA933" s="81" t="s">
        <v>1674</v>
      </c>
      <c r="AB933" s="79">
        <v>6</v>
      </c>
      <c r="AC933" s="80" t="str">
        <f>REPLACE(INDEX(GroupVertices[Group],MATCH("~"&amp;Edges[[#This Row],[Vertex 1]],GroupVertices[Vertex],0)),1,1,"")</f>
        <v>3</v>
      </c>
      <c r="AD933" s="80" t="str">
        <f>REPLACE(INDEX(GroupVertices[Group],MATCH("~"&amp;Edges[[#This Row],[Vertex 2]],GroupVertices[Vertex],0)),1,1,"")</f>
        <v>1</v>
      </c>
      <c r="AE933" s="105"/>
      <c r="AF933" s="105"/>
      <c r="AG933" s="105"/>
      <c r="AH933" s="105"/>
      <c r="AI933" s="105"/>
      <c r="AJ933" s="105"/>
      <c r="AK933" s="105"/>
      <c r="AL933" s="105"/>
      <c r="AM933" s="105"/>
    </row>
    <row r="934" spans="1:39" ht="15">
      <c r="A934" s="62" t="s">
        <v>280</v>
      </c>
      <c r="B934" s="62" t="s">
        <v>279</v>
      </c>
      <c r="C934" s="63" t="s">
        <v>3602</v>
      </c>
      <c r="D934" s="64">
        <v>5.526315789473684</v>
      </c>
      <c r="E934" s="65" t="s">
        <v>136</v>
      </c>
      <c r="F934" s="66">
        <v>31.0188679245283</v>
      </c>
      <c r="G934" s="63"/>
      <c r="H934" s="67"/>
      <c r="I934" s="68"/>
      <c r="J934" s="68"/>
      <c r="K934" s="31" t="s">
        <v>65</v>
      </c>
      <c r="L934" s="76">
        <v>934</v>
      </c>
      <c r="M934" s="76"/>
      <c r="N934" s="70"/>
      <c r="O934" s="78" t="s">
        <v>305</v>
      </c>
      <c r="P934" s="78" t="s">
        <v>483</v>
      </c>
      <c r="Q934" s="78" t="s">
        <v>969</v>
      </c>
      <c r="R934" s="78" t="s">
        <v>968</v>
      </c>
      <c r="S934" s="78"/>
      <c r="T934" s="78"/>
      <c r="U934" s="78"/>
      <c r="V934" s="78"/>
      <c r="W934" s="81" t="s">
        <v>1674</v>
      </c>
      <c r="X934" s="81" t="s">
        <v>1674</v>
      </c>
      <c r="Y934" s="78"/>
      <c r="Z934" s="78"/>
      <c r="AA934" s="81" t="s">
        <v>1674</v>
      </c>
      <c r="AB934" s="79">
        <v>3</v>
      </c>
      <c r="AC934" s="80" t="str">
        <f>REPLACE(INDEX(GroupVertices[Group],MATCH("~"&amp;Edges[[#This Row],[Vertex 1]],GroupVertices[Vertex],0)),1,1,"")</f>
        <v>3</v>
      </c>
      <c r="AD934" s="80" t="str">
        <f>REPLACE(INDEX(GroupVertices[Group],MATCH("~"&amp;Edges[[#This Row],[Vertex 2]],GroupVertices[Vertex],0)),1,1,"")</f>
        <v>3</v>
      </c>
      <c r="AE934" s="105"/>
      <c r="AF934" s="105"/>
      <c r="AG934" s="105"/>
      <c r="AH934" s="105"/>
      <c r="AI934" s="105"/>
      <c r="AJ934" s="105"/>
      <c r="AK934" s="105"/>
      <c r="AL934" s="105"/>
      <c r="AM934" s="105"/>
    </row>
    <row r="935" spans="1:39" ht="15">
      <c r="A935" s="62" t="s">
        <v>280</v>
      </c>
      <c r="B935" s="62" t="s">
        <v>279</v>
      </c>
      <c r="C935" s="63" t="s">
        <v>3602</v>
      </c>
      <c r="D935" s="64">
        <v>5.526315789473684</v>
      </c>
      <c r="E935" s="65" t="s">
        <v>136</v>
      </c>
      <c r="F935" s="66">
        <v>31.0188679245283</v>
      </c>
      <c r="G935" s="63"/>
      <c r="H935" s="67"/>
      <c r="I935" s="68"/>
      <c r="J935" s="68"/>
      <c r="K935" s="31" t="s">
        <v>65</v>
      </c>
      <c r="L935" s="76">
        <v>935</v>
      </c>
      <c r="M935" s="76"/>
      <c r="N935" s="70"/>
      <c r="O935" s="78" t="s">
        <v>305</v>
      </c>
      <c r="P935" s="78" t="s">
        <v>479</v>
      </c>
      <c r="Q935" s="78" t="s">
        <v>956</v>
      </c>
      <c r="R935" s="78" t="s">
        <v>955</v>
      </c>
      <c r="S935" s="78"/>
      <c r="T935" s="78"/>
      <c r="U935" s="78"/>
      <c r="V935" s="78"/>
      <c r="W935" s="81" t="s">
        <v>1674</v>
      </c>
      <c r="X935" s="81" t="s">
        <v>1674</v>
      </c>
      <c r="Y935" s="78"/>
      <c r="Z935" s="78"/>
      <c r="AA935" s="81" t="s">
        <v>1674</v>
      </c>
      <c r="AB935" s="79">
        <v>3</v>
      </c>
      <c r="AC935" s="80" t="str">
        <f>REPLACE(INDEX(GroupVertices[Group],MATCH("~"&amp;Edges[[#This Row],[Vertex 1]],GroupVertices[Vertex],0)),1,1,"")</f>
        <v>3</v>
      </c>
      <c r="AD935" s="80" t="str">
        <f>REPLACE(INDEX(GroupVertices[Group],MATCH("~"&amp;Edges[[#This Row],[Vertex 2]],GroupVertices[Vertex],0)),1,1,"")</f>
        <v>3</v>
      </c>
      <c r="AE935" s="105"/>
      <c r="AF935" s="105"/>
      <c r="AG935" s="105"/>
      <c r="AH935" s="105"/>
      <c r="AI935" s="105"/>
      <c r="AJ935" s="105"/>
      <c r="AK935" s="105"/>
      <c r="AL935" s="105"/>
      <c r="AM935" s="105"/>
    </row>
    <row r="936" spans="1:39" ht="15">
      <c r="A936" s="62" t="s">
        <v>280</v>
      </c>
      <c r="B936" s="62" t="s">
        <v>279</v>
      </c>
      <c r="C936" s="63" t="s">
        <v>3602</v>
      </c>
      <c r="D936" s="64">
        <v>5.526315789473684</v>
      </c>
      <c r="E936" s="65" t="s">
        <v>136</v>
      </c>
      <c r="F936" s="66">
        <v>31.0188679245283</v>
      </c>
      <c r="G936" s="63"/>
      <c r="H936" s="67"/>
      <c r="I936" s="68"/>
      <c r="J936" s="68"/>
      <c r="K936" s="31" t="s">
        <v>65</v>
      </c>
      <c r="L936" s="76">
        <v>936</v>
      </c>
      <c r="M936" s="76"/>
      <c r="N936" s="70"/>
      <c r="O936" s="78" t="s">
        <v>305</v>
      </c>
      <c r="P936" s="78" t="s">
        <v>579</v>
      </c>
      <c r="Q936" s="78" t="s">
        <v>1128</v>
      </c>
      <c r="R936" s="78" t="s">
        <v>1566</v>
      </c>
      <c r="S936" s="78"/>
      <c r="T936" s="78"/>
      <c r="U936" s="78"/>
      <c r="V936" s="78"/>
      <c r="W936" s="81" t="s">
        <v>1674</v>
      </c>
      <c r="X936" s="81" t="s">
        <v>1674</v>
      </c>
      <c r="Y936" s="78"/>
      <c r="Z936" s="78"/>
      <c r="AA936" s="81" t="s">
        <v>1674</v>
      </c>
      <c r="AB936" s="79">
        <v>3</v>
      </c>
      <c r="AC936" s="80" t="str">
        <f>REPLACE(INDEX(GroupVertices[Group],MATCH("~"&amp;Edges[[#This Row],[Vertex 1]],GroupVertices[Vertex],0)),1,1,"")</f>
        <v>3</v>
      </c>
      <c r="AD936" s="80" t="str">
        <f>REPLACE(INDEX(GroupVertices[Group],MATCH("~"&amp;Edges[[#This Row],[Vertex 2]],GroupVertices[Vertex],0)),1,1,"")</f>
        <v>3</v>
      </c>
      <c r="AE936" s="105"/>
      <c r="AF936" s="105"/>
      <c r="AG936" s="105"/>
      <c r="AH936" s="105"/>
      <c r="AI936" s="105"/>
      <c r="AJ936" s="105"/>
      <c r="AK936" s="105"/>
      <c r="AL936" s="105"/>
      <c r="AM936" s="105"/>
    </row>
    <row r="937" spans="1:39" ht="15">
      <c r="A937" s="62" t="s">
        <v>286</v>
      </c>
      <c r="B937" s="62" t="s">
        <v>279</v>
      </c>
      <c r="C937" s="63" t="s">
        <v>3598</v>
      </c>
      <c r="D937" s="64">
        <v>5</v>
      </c>
      <c r="E937" s="65" t="s">
        <v>132</v>
      </c>
      <c r="F937" s="66">
        <v>32</v>
      </c>
      <c r="G937" s="63"/>
      <c r="H937" s="67"/>
      <c r="I937" s="68"/>
      <c r="J937" s="68"/>
      <c r="K937" s="31" t="s">
        <v>65</v>
      </c>
      <c r="L937" s="76">
        <v>937</v>
      </c>
      <c r="M937" s="76"/>
      <c r="N937" s="70"/>
      <c r="O937" s="78" t="s">
        <v>305</v>
      </c>
      <c r="P937" s="78" t="s">
        <v>567</v>
      </c>
      <c r="Q937" s="78" t="s">
        <v>1108</v>
      </c>
      <c r="R937" s="78" t="s">
        <v>1106</v>
      </c>
      <c r="S937" s="78"/>
      <c r="T937" s="78"/>
      <c r="U937" s="78"/>
      <c r="V937" s="78"/>
      <c r="W937" s="81" t="s">
        <v>1674</v>
      </c>
      <c r="X937" s="81" t="s">
        <v>1674</v>
      </c>
      <c r="Y937" s="78"/>
      <c r="Z937" s="78"/>
      <c r="AA937" s="81" t="s">
        <v>1674</v>
      </c>
      <c r="AB937" s="79">
        <v>1</v>
      </c>
      <c r="AC937" s="80" t="str">
        <f>REPLACE(INDEX(GroupVertices[Group],MATCH("~"&amp;Edges[[#This Row],[Vertex 1]],GroupVertices[Vertex],0)),1,1,"")</f>
        <v>3</v>
      </c>
      <c r="AD937" s="80" t="str">
        <f>REPLACE(INDEX(GroupVertices[Group],MATCH("~"&amp;Edges[[#This Row],[Vertex 2]],GroupVertices[Vertex],0)),1,1,"")</f>
        <v>3</v>
      </c>
      <c r="AE937" s="105"/>
      <c r="AF937" s="105"/>
      <c r="AG937" s="105"/>
      <c r="AH937" s="105"/>
      <c r="AI937" s="105"/>
      <c r="AJ937" s="105"/>
      <c r="AK937" s="105"/>
      <c r="AL937" s="105"/>
      <c r="AM937" s="105"/>
    </row>
    <row r="938" spans="1:39" ht="15">
      <c r="A938" s="62" t="s">
        <v>270</v>
      </c>
      <c r="B938" s="62" t="s">
        <v>242</v>
      </c>
      <c r="C938" s="63" t="s">
        <v>3598</v>
      </c>
      <c r="D938" s="64">
        <v>5</v>
      </c>
      <c r="E938" s="65" t="s">
        <v>132</v>
      </c>
      <c r="F938" s="66">
        <v>32</v>
      </c>
      <c r="G938" s="63"/>
      <c r="H938" s="67"/>
      <c r="I938" s="68"/>
      <c r="J938" s="68"/>
      <c r="K938" s="31" t="s">
        <v>65</v>
      </c>
      <c r="L938" s="76">
        <v>938</v>
      </c>
      <c r="M938" s="76"/>
      <c r="N938" s="70"/>
      <c r="O938" s="78" t="s">
        <v>305</v>
      </c>
      <c r="P938" s="78" t="s">
        <v>580</v>
      </c>
      <c r="Q938" s="78" t="s">
        <v>1129</v>
      </c>
      <c r="R938" s="78" t="s">
        <v>1567</v>
      </c>
      <c r="S938" s="78"/>
      <c r="T938" s="78"/>
      <c r="U938" s="78"/>
      <c r="V938" s="78"/>
      <c r="W938" s="81" t="s">
        <v>1674</v>
      </c>
      <c r="X938" s="81" t="s">
        <v>1674</v>
      </c>
      <c r="Y938" s="78"/>
      <c r="Z938" s="78"/>
      <c r="AA938" s="81" t="s">
        <v>1674</v>
      </c>
      <c r="AB938" s="79">
        <v>1</v>
      </c>
      <c r="AC938" s="80" t="str">
        <f>REPLACE(INDEX(GroupVertices[Group],MATCH("~"&amp;Edges[[#This Row],[Vertex 1]],GroupVertices[Vertex],0)),1,1,"")</f>
        <v>2</v>
      </c>
      <c r="AD938" s="80" t="str">
        <f>REPLACE(INDEX(GroupVertices[Group],MATCH("~"&amp;Edges[[#This Row],[Vertex 2]],GroupVertices[Vertex],0)),1,1,"")</f>
        <v>5</v>
      </c>
      <c r="AE938" s="105"/>
      <c r="AF938" s="105"/>
      <c r="AG938" s="105"/>
      <c r="AH938" s="105"/>
      <c r="AI938" s="105"/>
      <c r="AJ938" s="105"/>
      <c r="AK938" s="105"/>
      <c r="AL938" s="105"/>
      <c r="AM938" s="105"/>
    </row>
    <row r="939" spans="1:39" ht="15">
      <c r="A939" s="62" t="s">
        <v>247</v>
      </c>
      <c r="B939" s="62" t="s">
        <v>242</v>
      </c>
      <c r="C939" s="63" t="s">
        <v>3598</v>
      </c>
      <c r="D939" s="64">
        <v>5</v>
      </c>
      <c r="E939" s="65" t="s">
        <v>132</v>
      </c>
      <c r="F939" s="66">
        <v>32</v>
      </c>
      <c r="G939" s="63"/>
      <c r="H939" s="67"/>
      <c r="I939" s="68"/>
      <c r="J939" s="68"/>
      <c r="K939" s="31" t="s">
        <v>65</v>
      </c>
      <c r="L939" s="76">
        <v>939</v>
      </c>
      <c r="M939" s="76"/>
      <c r="N939" s="70"/>
      <c r="O939" s="78" t="s">
        <v>305</v>
      </c>
      <c r="P939" s="78" t="s">
        <v>581</v>
      </c>
      <c r="Q939" s="78" t="s">
        <v>1130</v>
      </c>
      <c r="R939" s="78" t="s">
        <v>1568</v>
      </c>
      <c r="S939" s="78"/>
      <c r="T939" s="78"/>
      <c r="U939" s="78"/>
      <c r="V939" s="78"/>
      <c r="W939" s="81" t="s">
        <v>1674</v>
      </c>
      <c r="X939" s="81" t="s">
        <v>1674</v>
      </c>
      <c r="Y939" s="78"/>
      <c r="Z939" s="78"/>
      <c r="AA939" s="81" t="s">
        <v>1674</v>
      </c>
      <c r="AB939" s="79">
        <v>1</v>
      </c>
      <c r="AC939" s="80" t="str">
        <f>REPLACE(INDEX(GroupVertices[Group],MATCH("~"&amp;Edges[[#This Row],[Vertex 1]],GroupVertices[Vertex],0)),1,1,"")</f>
        <v>2</v>
      </c>
      <c r="AD939" s="80" t="str">
        <f>REPLACE(INDEX(GroupVertices[Group],MATCH("~"&amp;Edges[[#This Row],[Vertex 2]],GroupVertices[Vertex],0)),1,1,"")</f>
        <v>5</v>
      </c>
      <c r="AE939" s="105"/>
      <c r="AF939" s="105"/>
      <c r="AG939" s="105"/>
      <c r="AH939" s="105"/>
      <c r="AI939" s="105"/>
      <c r="AJ939" s="105"/>
      <c r="AK939" s="105"/>
      <c r="AL939" s="105"/>
      <c r="AM939" s="105"/>
    </row>
    <row r="940" spans="1:39" ht="15">
      <c r="A940" s="62" t="s">
        <v>277</v>
      </c>
      <c r="B940" s="62" t="s">
        <v>242</v>
      </c>
      <c r="C940" s="63" t="s">
        <v>3598</v>
      </c>
      <c r="D940" s="64">
        <v>5</v>
      </c>
      <c r="E940" s="65" t="s">
        <v>132</v>
      </c>
      <c r="F940" s="66">
        <v>32</v>
      </c>
      <c r="G940" s="63"/>
      <c r="H940" s="67"/>
      <c r="I940" s="68"/>
      <c r="J940" s="68"/>
      <c r="K940" s="31" t="s">
        <v>65</v>
      </c>
      <c r="L940" s="76">
        <v>940</v>
      </c>
      <c r="M940" s="76"/>
      <c r="N940" s="70"/>
      <c r="O940" s="78" t="s">
        <v>305</v>
      </c>
      <c r="P940" s="78" t="s">
        <v>443</v>
      </c>
      <c r="Q940" s="78" t="s">
        <v>896</v>
      </c>
      <c r="R940" s="78" t="s">
        <v>1417</v>
      </c>
      <c r="S940" s="78"/>
      <c r="T940" s="78"/>
      <c r="U940" s="78"/>
      <c r="V940" s="78"/>
      <c r="W940" s="81" t="s">
        <v>1674</v>
      </c>
      <c r="X940" s="81" t="s">
        <v>1674</v>
      </c>
      <c r="Y940" s="78"/>
      <c r="Z940" s="78"/>
      <c r="AA940" s="81" t="s">
        <v>1674</v>
      </c>
      <c r="AB940" s="79">
        <v>1</v>
      </c>
      <c r="AC940" s="80" t="str">
        <f>REPLACE(INDEX(GroupVertices[Group],MATCH("~"&amp;Edges[[#This Row],[Vertex 1]],GroupVertices[Vertex],0)),1,1,"")</f>
        <v>1</v>
      </c>
      <c r="AD940" s="80" t="str">
        <f>REPLACE(INDEX(GroupVertices[Group],MATCH("~"&amp;Edges[[#This Row],[Vertex 2]],GroupVertices[Vertex],0)),1,1,"")</f>
        <v>5</v>
      </c>
      <c r="AE940" s="105"/>
      <c r="AF940" s="105"/>
      <c r="AG940" s="105"/>
      <c r="AH940" s="105"/>
      <c r="AI940" s="105"/>
      <c r="AJ940" s="105"/>
      <c r="AK940" s="105"/>
      <c r="AL940" s="105"/>
      <c r="AM940" s="105"/>
    </row>
    <row r="941" spans="1:39" ht="15">
      <c r="A941" s="62" t="s">
        <v>280</v>
      </c>
      <c r="B941" s="62" t="s">
        <v>242</v>
      </c>
      <c r="C941" s="63" t="s">
        <v>3598</v>
      </c>
      <c r="D941" s="64">
        <v>5</v>
      </c>
      <c r="E941" s="65" t="s">
        <v>132</v>
      </c>
      <c r="F941" s="66">
        <v>32</v>
      </c>
      <c r="G941" s="63"/>
      <c r="H941" s="67"/>
      <c r="I941" s="68"/>
      <c r="J941" s="68"/>
      <c r="K941" s="31" t="s">
        <v>65</v>
      </c>
      <c r="L941" s="76">
        <v>941</v>
      </c>
      <c r="M941" s="76"/>
      <c r="N941" s="70"/>
      <c r="O941" s="78" t="s">
        <v>305</v>
      </c>
      <c r="P941" s="78" t="s">
        <v>580</v>
      </c>
      <c r="Q941" s="78" t="s">
        <v>1131</v>
      </c>
      <c r="R941" s="78" t="s">
        <v>1567</v>
      </c>
      <c r="S941" s="78"/>
      <c r="T941" s="78"/>
      <c r="U941" s="78"/>
      <c r="V941" s="78"/>
      <c r="W941" s="81" t="s">
        <v>1674</v>
      </c>
      <c r="X941" s="81" t="s">
        <v>1674</v>
      </c>
      <c r="Y941" s="78"/>
      <c r="Z941" s="78"/>
      <c r="AA941" s="81" t="s">
        <v>1674</v>
      </c>
      <c r="AB941" s="79">
        <v>1</v>
      </c>
      <c r="AC941" s="80" t="str">
        <f>REPLACE(INDEX(GroupVertices[Group],MATCH("~"&amp;Edges[[#This Row],[Vertex 1]],GroupVertices[Vertex],0)),1,1,"")</f>
        <v>3</v>
      </c>
      <c r="AD941" s="80" t="str">
        <f>REPLACE(INDEX(GroupVertices[Group],MATCH("~"&amp;Edges[[#This Row],[Vertex 2]],GroupVertices[Vertex],0)),1,1,"")</f>
        <v>5</v>
      </c>
      <c r="AE941" s="105"/>
      <c r="AF941" s="105"/>
      <c r="AG941" s="105"/>
      <c r="AH941" s="105"/>
      <c r="AI941" s="105"/>
      <c r="AJ941" s="105"/>
      <c r="AK941" s="105"/>
      <c r="AL941" s="105"/>
      <c r="AM941" s="105"/>
    </row>
    <row r="942" spans="1:39" ht="15">
      <c r="A942" s="62" t="s">
        <v>287</v>
      </c>
      <c r="B942" s="62" t="s">
        <v>242</v>
      </c>
      <c r="C942" s="63" t="s">
        <v>3598</v>
      </c>
      <c r="D942" s="64">
        <v>5</v>
      </c>
      <c r="E942" s="65" t="s">
        <v>132</v>
      </c>
      <c r="F942" s="66">
        <v>32</v>
      </c>
      <c r="G942" s="63"/>
      <c r="H942" s="67"/>
      <c r="I942" s="68"/>
      <c r="J942" s="68"/>
      <c r="K942" s="31" t="s">
        <v>65</v>
      </c>
      <c r="L942" s="76">
        <v>942</v>
      </c>
      <c r="M942" s="76"/>
      <c r="N942" s="70"/>
      <c r="O942" s="78" t="s">
        <v>305</v>
      </c>
      <c r="P942" s="78" t="s">
        <v>580</v>
      </c>
      <c r="Q942" s="78" t="s">
        <v>1132</v>
      </c>
      <c r="R942" s="78" t="s">
        <v>1567</v>
      </c>
      <c r="S942" s="78"/>
      <c r="T942" s="78"/>
      <c r="U942" s="78"/>
      <c r="V942" s="78"/>
      <c r="W942" s="81" t="s">
        <v>1674</v>
      </c>
      <c r="X942" s="81" t="s">
        <v>1674</v>
      </c>
      <c r="Y942" s="78"/>
      <c r="Z942" s="78"/>
      <c r="AA942" s="81" t="s">
        <v>1674</v>
      </c>
      <c r="AB942" s="79">
        <v>1</v>
      </c>
      <c r="AC942" s="80" t="str">
        <f>REPLACE(INDEX(GroupVertices[Group],MATCH("~"&amp;Edges[[#This Row],[Vertex 1]],GroupVertices[Vertex],0)),1,1,"")</f>
        <v>2</v>
      </c>
      <c r="AD942" s="80" t="str">
        <f>REPLACE(INDEX(GroupVertices[Group],MATCH("~"&amp;Edges[[#This Row],[Vertex 2]],GroupVertices[Vertex],0)),1,1,"")</f>
        <v>5</v>
      </c>
      <c r="AE942" s="105"/>
      <c r="AF942" s="105"/>
      <c r="AG942" s="105"/>
      <c r="AH942" s="105"/>
      <c r="AI942" s="105"/>
      <c r="AJ942" s="105"/>
      <c r="AK942" s="105"/>
      <c r="AL942" s="105"/>
      <c r="AM942" s="105"/>
    </row>
    <row r="943" spans="1:39" ht="15">
      <c r="A943" s="62" t="s">
        <v>270</v>
      </c>
      <c r="B943" s="62" t="s">
        <v>249</v>
      </c>
      <c r="C943" s="63" t="s">
        <v>3598</v>
      </c>
      <c r="D943" s="64">
        <v>5</v>
      </c>
      <c r="E943" s="65" t="s">
        <v>132</v>
      </c>
      <c r="F943" s="66">
        <v>32</v>
      </c>
      <c r="G943" s="63"/>
      <c r="H943" s="67"/>
      <c r="I943" s="68"/>
      <c r="J943" s="68"/>
      <c r="K943" s="31" t="s">
        <v>65</v>
      </c>
      <c r="L943" s="76">
        <v>943</v>
      </c>
      <c r="M943" s="76"/>
      <c r="N943" s="70"/>
      <c r="O943" s="78" t="s">
        <v>305</v>
      </c>
      <c r="P943" s="78" t="s">
        <v>468</v>
      </c>
      <c r="Q943" s="78" t="s">
        <v>1133</v>
      </c>
      <c r="R943" s="78" t="s">
        <v>1443</v>
      </c>
      <c r="S943" s="78"/>
      <c r="T943" s="78"/>
      <c r="U943" s="78"/>
      <c r="V943" s="78"/>
      <c r="W943" s="81" t="s">
        <v>1674</v>
      </c>
      <c r="X943" s="81" t="s">
        <v>1674</v>
      </c>
      <c r="Y943" s="78"/>
      <c r="Z943" s="78"/>
      <c r="AA943" s="81" t="s">
        <v>1674</v>
      </c>
      <c r="AB943" s="79">
        <v>1</v>
      </c>
      <c r="AC943" s="80" t="str">
        <f>REPLACE(INDEX(GroupVertices[Group],MATCH("~"&amp;Edges[[#This Row],[Vertex 1]],GroupVertices[Vertex],0)),1,1,"")</f>
        <v>2</v>
      </c>
      <c r="AD943" s="80" t="str">
        <f>REPLACE(INDEX(GroupVertices[Group],MATCH("~"&amp;Edges[[#This Row],[Vertex 2]],GroupVertices[Vertex],0)),1,1,"")</f>
        <v>2</v>
      </c>
      <c r="AE943" s="105"/>
      <c r="AF943" s="105"/>
      <c r="AG943" s="105"/>
      <c r="AH943" s="105"/>
      <c r="AI943" s="105"/>
      <c r="AJ943" s="105"/>
      <c r="AK943" s="105"/>
      <c r="AL943" s="105"/>
      <c r="AM943" s="105"/>
    </row>
    <row r="944" spans="1:39" ht="15">
      <c r="A944" s="62" t="s">
        <v>243</v>
      </c>
      <c r="B944" s="62" t="s">
        <v>270</v>
      </c>
      <c r="C944" s="63" t="s">
        <v>3602</v>
      </c>
      <c r="D944" s="64">
        <v>5.526315789473684</v>
      </c>
      <c r="E944" s="65" t="s">
        <v>136</v>
      </c>
      <c r="F944" s="66">
        <v>31.0188679245283</v>
      </c>
      <c r="G944" s="63"/>
      <c r="H944" s="67"/>
      <c r="I944" s="68"/>
      <c r="J944" s="68"/>
      <c r="K944" s="31" t="s">
        <v>65</v>
      </c>
      <c r="L944" s="76">
        <v>944</v>
      </c>
      <c r="M944" s="76"/>
      <c r="N944" s="70"/>
      <c r="O944" s="78" t="s">
        <v>305</v>
      </c>
      <c r="P944" s="78" t="s">
        <v>468</v>
      </c>
      <c r="Q944" s="78" t="s">
        <v>1134</v>
      </c>
      <c r="R944" s="78" t="s">
        <v>1133</v>
      </c>
      <c r="S944" s="78"/>
      <c r="T944" s="78"/>
      <c r="U944" s="78"/>
      <c r="V944" s="78"/>
      <c r="W944" s="81" t="s">
        <v>1674</v>
      </c>
      <c r="X944" s="81" t="s">
        <v>1674</v>
      </c>
      <c r="Y944" s="78"/>
      <c r="Z944" s="78"/>
      <c r="AA944" s="81" t="s">
        <v>1674</v>
      </c>
      <c r="AB944" s="79">
        <v>3</v>
      </c>
      <c r="AC944" s="80" t="str">
        <f>REPLACE(INDEX(GroupVertices[Group],MATCH("~"&amp;Edges[[#This Row],[Vertex 1]],GroupVertices[Vertex],0)),1,1,"")</f>
        <v>5</v>
      </c>
      <c r="AD944" s="80" t="str">
        <f>REPLACE(INDEX(GroupVertices[Group],MATCH("~"&amp;Edges[[#This Row],[Vertex 2]],GroupVertices[Vertex],0)),1,1,"")</f>
        <v>2</v>
      </c>
      <c r="AE944" s="105"/>
      <c r="AF944" s="105"/>
      <c r="AG944" s="105"/>
      <c r="AH944" s="105"/>
      <c r="AI944" s="105"/>
      <c r="AJ944" s="105"/>
      <c r="AK944" s="105"/>
      <c r="AL944" s="105"/>
      <c r="AM944" s="105"/>
    </row>
    <row r="945" spans="1:39" ht="15">
      <c r="A945" s="62" t="s">
        <v>243</v>
      </c>
      <c r="B945" s="62" t="s">
        <v>270</v>
      </c>
      <c r="C945" s="63" t="s">
        <v>3602</v>
      </c>
      <c r="D945" s="64">
        <v>5.526315789473684</v>
      </c>
      <c r="E945" s="65" t="s">
        <v>136</v>
      </c>
      <c r="F945" s="66">
        <v>31.0188679245283</v>
      </c>
      <c r="G945" s="63"/>
      <c r="H945" s="67"/>
      <c r="I945" s="68"/>
      <c r="J945" s="68"/>
      <c r="K945" s="31" t="s">
        <v>65</v>
      </c>
      <c r="L945" s="76">
        <v>945</v>
      </c>
      <c r="M945" s="76"/>
      <c r="N945" s="70"/>
      <c r="O945" s="78" t="s">
        <v>305</v>
      </c>
      <c r="P945" s="78" t="s">
        <v>468</v>
      </c>
      <c r="Q945" s="78" t="s">
        <v>1135</v>
      </c>
      <c r="R945" s="78" t="s">
        <v>1133</v>
      </c>
      <c r="S945" s="78"/>
      <c r="T945" s="78"/>
      <c r="U945" s="78"/>
      <c r="V945" s="78"/>
      <c r="W945" s="81" t="s">
        <v>1674</v>
      </c>
      <c r="X945" s="81" t="s">
        <v>1674</v>
      </c>
      <c r="Y945" s="78"/>
      <c r="Z945" s="78"/>
      <c r="AA945" s="81" t="s">
        <v>1674</v>
      </c>
      <c r="AB945" s="79">
        <v>3</v>
      </c>
      <c r="AC945" s="80" t="str">
        <f>REPLACE(INDEX(GroupVertices[Group],MATCH("~"&amp;Edges[[#This Row],[Vertex 1]],GroupVertices[Vertex],0)),1,1,"")</f>
        <v>5</v>
      </c>
      <c r="AD945" s="80" t="str">
        <f>REPLACE(INDEX(GroupVertices[Group],MATCH("~"&amp;Edges[[#This Row],[Vertex 2]],GroupVertices[Vertex],0)),1,1,"")</f>
        <v>2</v>
      </c>
      <c r="AE945" s="105"/>
      <c r="AF945" s="105"/>
      <c r="AG945" s="105"/>
      <c r="AH945" s="105"/>
      <c r="AI945" s="105"/>
      <c r="AJ945" s="105"/>
      <c r="AK945" s="105"/>
      <c r="AL945" s="105"/>
      <c r="AM945" s="105"/>
    </row>
    <row r="946" spans="1:39" ht="15">
      <c r="A946" s="62" t="s">
        <v>243</v>
      </c>
      <c r="B946" s="62" t="s">
        <v>270</v>
      </c>
      <c r="C946" s="63" t="s">
        <v>3602</v>
      </c>
      <c r="D946" s="64">
        <v>5.526315789473684</v>
      </c>
      <c r="E946" s="65" t="s">
        <v>136</v>
      </c>
      <c r="F946" s="66">
        <v>31.0188679245283</v>
      </c>
      <c r="G946" s="63"/>
      <c r="H946" s="67"/>
      <c r="I946" s="68"/>
      <c r="J946" s="68"/>
      <c r="K946" s="31" t="s">
        <v>65</v>
      </c>
      <c r="L946" s="76">
        <v>946</v>
      </c>
      <c r="M946" s="76"/>
      <c r="N946" s="70"/>
      <c r="O946" s="78" t="s">
        <v>305</v>
      </c>
      <c r="P946" s="78" t="s">
        <v>468</v>
      </c>
      <c r="Q946" s="78" t="s">
        <v>1136</v>
      </c>
      <c r="R946" s="78" t="s">
        <v>1133</v>
      </c>
      <c r="S946" s="78"/>
      <c r="T946" s="78"/>
      <c r="U946" s="78"/>
      <c r="V946" s="78"/>
      <c r="W946" s="81" t="s">
        <v>1674</v>
      </c>
      <c r="X946" s="81" t="s">
        <v>1674</v>
      </c>
      <c r="Y946" s="78"/>
      <c r="Z946" s="78"/>
      <c r="AA946" s="81" t="s">
        <v>1674</v>
      </c>
      <c r="AB946" s="79">
        <v>3</v>
      </c>
      <c r="AC946" s="80" t="str">
        <f>REPLACE(INDEX(GroupVertices[Group],MATCH("~"&amp;Edges[[#This Row],[Vertex 1]],GroupVertices[Vertex],0)),1,1,"")</f>
        <v>5</v>
      </c>
      <c r="AD946" s="80" t="str">
        <f>REPLACE(INDEX(GroupVertices[Group],MATCH("~"&amp;Edges[[#This Row],[Vertex 2]],GroupVertices[Vertex],0)),1,1,"")</f>
        <v>2</v>
      </c>
      <c r="AE946" s="105"/>
      <c r="AF946" s="105"/>
      <c r="AG946" s="105"/>
      <c r="AH946" s="105"/>
      <c r="AI946" s="105"/>
      <c r="AJ946" s="105"/>
      <c r="AK946" s="105"/>
      <c r="AL946" s="105"/>
      <c r="AM946" s="105"/>
    </row>
    <row r="947" spans="1:39" ht="15">
      <c r="A947" s="62" t="s">
        <v>245</v>
      </c>
      <c r="B947" s="62" t="s">
        <v>270</v>
      </c>
      <c r="C947" s="63" t="s">
        <v>3598</v>
      </c>
      <c r="D947" s="64">
        <v>5</v>
      </c>
      <c r="E947" s="65" t="s">
        <v>132</v>
      </c>
      <c r="F947" s="66">
        <v>32</v>
      </c>
      <c r="G947" s="63"/>
      <c r="H947" s="67"/>
      <c r="I947" s="68"/>
      <c r="J947" s="68"/>
      <c r="K947" s="31" t="s">
        <v>65</v>
      </c>
      <c r="L947" s="76">
        <v>947</v>
      </c>
      <c r="M947" s="76"/>
      <c r="N947" s="70"/>
      <c r="O947" s="78" t="s">
        <v>305</v>
      </c>
      <c r="P947" s="78" t="s">
        <v>582</v>
      </c>
      <c r="Q947" s="78" t="s">
        <v>1137</v>
      </c>
      <c r="R947" s="78" t="s">
        <v>1569</v>
      </c>
      <c r="S947" s="78"/>
      <c r="T947" s="78"/>
      <c r="U947" s="78"/>
      <c r="V947" s="78"/>
      <c r="W947" s="81" t="s">
        <v>1674</v>
      </c>
      <c r="X947" s="81" t="s">
        <v>1674</v>
      </c>
      <c r="Y947" s="78"/>
      <c r="Z947" s="78"/>
      <c r="AA947" s="81" t="s">
        <v>1674</v>
      </c>
      <c r="AB947" s="79">
        <v>1</v>
      </c>
      <c r="AC947" s="80" t="str">
        <f>REPLACE(INDEX(GroupVertices[Group],MATCH("~"&amp;Edges[[#This Row],[Vertex 1]],GroupVertices[Vertex],0)),1,1,"")</f>
        <v>1</v>
      </c>
      <c r="AD947" s="80" t="str">
        <f>REPLACE(INDEX(GroupVertices[Group],MATCH("~"&amp;Edges[[#This Row],[Vertex 2]],GroupVertices[Vertex],0)),1,1,"")</f>
        <v>2</v>
      </c>
      <c r="AE947" s="105"/>
      <c r="AF947" s="105"/>
      <c r="AG947" s="105"/>
      <c r="AH947" s="105"/>
      <c r="AI947" s="105"/>
      <c r="AJ947" s="105"/>
      <c r="AK947" s="105"/>
      <c r="AL947" s="105"/>
      <c r="AM947" s="105"/>
    </row>
    <row r="948" spans="1:39" ht="15">
      <c r="A948" s="62" t="s">
        <v>254</v>
      </c>
      <c r="B948" s="62" t="s">
        <v>270</v>
      </c>
      <c r="C948" s="63" t="s">
        <v>3602</v>
      </c>
      <c r="D948" s="64">
        <v>5.526315789473684</v>
      </c>
      <c r="E948" s="65" t="s">
        <v>136</v>
      </c>
      <c r="F948" s="66">
        <v>31.0188679245283</v>
      </c>
      <c r="G948" s="63"/>
      <c r="H948" s="67"/>
      <c r="I948" s="68"/>
      <c r="J948" s="68"/>
      <c r="K948" s="31" t="s">
        <v>65</v>
      </c>
      <c r="L948" s="76">
        <v>948</v>
      </c>
      <c r="M948" s="76"/>
      <c r="N948" s="70"/>
      <c r="O948" s="78" t="s">
        <v>305</v>
      </c>
      <c r="P948" s="78" t="s">
        <v>371</v>
      </c>
      <c r="Q948" s="78" t="s">
        <v>819</v>
      </c>
      <c r="R948" s="78" t="s">
        <v>817</v>
      </c>
      <c r="S948" s="78"/>
      <c r="T948" s="78"/>
      <c r="U948" s="78"/>
      <c r="V948" s="78"/>
      <c r="W948" s="81" t="s">
        <v>1674</v>
      </c>
      <c r="X948" s="81" t="s">
        <v>1674</v>
      </c>
      <c r="Y948" s="78"/>
      <c r="Z948" s="78"/>
      <c r="AA948" s="81" t="s">
        <v>1674</v>
      </c>
      <c r="AB948" s="79">
        <v>3</v>
      </c>
      <c r="AC948" s="80" t="str">
        <f>REPLACE(INDEX(GroupVertices[Group],MATCH("~"&amp;Edges[[#This Row],[Vertex 1]],GroupVertices[Vertex],0)),1,1,"")</f>
        <v>2</v>
      </c>
      <c r="AD948" s="80" t="str">
        <f>REPLACE(INDEX(GroupVertices[Group],MATCH("~"&amp;Edges[[#This Row],[Vertex 2]],GroupVertices[Vertex],0)),1,1,"")</f>
        <v>2</v>
      </c>
      <c r="AE948" s="105"/>
      <c r="AF948" s="105"/>
      <c r="AG948" s="105"/>
      <c r="AH948" s="105"/>
      <c r="AI948" s="105"/>
      <c r="AJ948" s="105"/>
      <c r="AK948" s="105"/>
      <c r="AL948" s="105"/>
      <c r="AM948" s="105"/>
    </row>
    <row r="949" spans="1:39" ht="15">
      <c r="A949" s="62" t="s">
        <v>254</v>
      </c>
      <c r="B949" s="62" t="s">
        <v>270</v>
      </c>
      <c r="C949" s="63" t="s">
        <v>3602</v>
      </c>
      <c r="D949" s="64">
        <v>5.526315789473684</v>
      </c>
      <c r="E949" s="65" t="s">
        <v>136</v>
      </c>
      <c r="F949" s="66">
        <v>31.0188679245283</v>
      </c>
      <c r="G949" s="63"/>
      <c r="H949" s="67"/>
      <c r="I949" s="68"/>
      <c r="J949" s="68"/>
      <c r="K949" s="31" t="s">
        <v>65</v>
      </c>
      <c r="L949" s="76">
        <v>949</v>
      </c>
      <c r="M949" s="76"/>
      <c r="N949" s="70"/>
      <c r="O949" s="78" t="s">
        <v>305</v>
      </c>
      <c r="P949" s="78" t="s">
        <v>371</v>
      </c>
      <c r="Q949" s="78" t="s">
        <v>821</v>
      </c>
      <c r="R949" s="78" t="s">
        <v>817</v>
      </c>
      <c r="S949" s="78"/>
      <c r="T949" s="78"/>
      <c r="U949" s="78"/>
      <c r="V949" s="78"/>
      <c r="W949" s="81" t="s">
        <v>1674</v>
      </c>
      <c r="X949" s="81" t="s">
        <v>1674</v>
      </c>
      <c r="Y949" s="78"/>
      <c r="Z949" s="78"/>
      <c r="AA949" s="81" t="s">
        <v>1674</v>
      </c>
      <c r="AB949" s="79">
        <v>3</v>
      </c>
      <c r="AC949" s="80" t="str">
        <f>REPLACE(INDEX(GroupVertices[Group],MATCH("~"&amp;Edges[[#This Row],[Vertex 1]],GroupVertices[Vertex],0)),1,1,"")</f>
        <v>2</v>
      </c>
      <c r="AD949" s="80" t="str">
        <f>REPLACE(INDEX(GroupVertices[Group],MATCH("~"&amp;Edges[[#This Row],[Vertex 2]],GroupVertices[Vertex],0)),1,1,"")</f>
        <v>2</v>
      </c>
      <c r="AE949" s="105"/>
      <c r="AF949" s="105"/>
      <c r="AG949" s="105"/>
      <c r="AH949" s="105"/>
      <c r="AI949" s="105"/>
      <c r="AJ949" s="105"/>
      <c r="AK949" s="105"/>
      <c r="AL949" s="105"/>
      <c r="AM949" s="105"/>
    </row>
    <row r="950" spans="1:39" ht="15">
      <c r="A950" s="62" t="s">
        <v>254</v>
      </c>
      <c r="B950" s="62" t="s">
        <v>270</v>
      </c>
      <c r="C950" s="63" t="s">
        <v>3602</v>
      </c>
      <c r="D950" s="64">
        <v>5.526315789473684</v>
      </c>
      <c r="E950" s="65" t="s">
        <v>136</v>
      </c>
      <c r="F950" s="66">
        <v>31.0188679245283</v>
      </c>
      <c r="G950" s="63"/>
      <c r="H950" s="67"/>
      <c r="I950" s="68"/>
      <c r="J950" s="68"/>
      <c r="K950" s="31" t="s">
        <v>65</v>
      </c>
      <c r="L950" s="76">
        <v>950</v>
      </c>
      <c r="M950" s="76"/>
      <c r="N950" s="70"/>
      <c r="O950" s="78" t="s">
        <v>305</v>
      </c>
      <c r="P950" s="78" t="s">
        <v>582</v>
      </c>
      <c r="Q950" s="78" t="s">
        <v>1138</v>
      </c>
      <c r="R950" s="78" t="s">
        <v>1569</v>
      </c>
      <c r="S950" s="78"/>
      <c r="T950" s="78"/>
      <c r="U950" s="78"/>
      <c r="V950" s="78"/>
      <c r="W950" s="81" t="s">
        <v>1674</v>
      </c>
      <c r="X950" s="81" t="s">
        <v>1674</v>
      </c>
      <c r="Y950" s="78"/>
      <c r="Z950" s="78"/>
      <c r="AA950" s="81" t="s">
        <v>1674</v>
      </c>
      <c r="AB950" s="79">
        <v>3</v>
      </c>
      <c r="AC950" s="80" t="str">
        <f>REPLACE(INDEX(GroupVertices[Group],MATCH("~"&amp;Edges[[#This Row],[Vertex 1]],GroupVertices[Vertex],0)),1,1,"")</f>
        <v>2</v>
      </c>
      <c r="AD950" s="80" t="str">
        <f>REPLACE(INDEX(GroupVertices[Group],MATCH("~"&amp;Edges[[#This Row],[Vertex 2]],GroupVertices[Vertex],0)),1,1,"")</f>
        <v>2</v>
      </c>
      <c r="AE950" s="105"/>
      <c r="AF950" s="105"/>
      <c r="AG950" s="105"/>
      <c r="AH950" s="105"/>
      <c r="AI950" s="105"/>
      <c r="AJ950" s="105"/>
      <c r="AK950" s="105"/>
      <c r="AL950" s="105"/>
      <c r="AM950" s="105"/>
    </row>
    <row r="951" spans="1:39" ht="15">
      <c r="A951" s="62" t="s">
        <v>246</v>
      </c>
      <c r="B951" s="62" t="s">
        <v>270</v>
      </c>
      <c r="C951" s="63" t="s">
        <v>3598</v>
      </c>
      <c r="D951" s="64">
        <v>5</v>
      </c>
      <c r="E951" s="65" t="s">
        <v>132</v>
      </c>
      <c r="F951" s="66">
        <v>32</v>
      </c>
      <c r="G951" s="63"/>
      <c r="H951" s="67"/>
      <c r="I951" s="68"/>
      <c r="J951" s="68"/>
      <c r="K951" s="31" t="s">
        <v>65</v>
      </c>
      <c r="L951" s="76">
        <v>951</v>
      </c>
      <c r="M951" s="76"/>
      <c r="N951" s="70"/>
      <c r="O951" s="78" t="s">
        <v>305</v>
      </c>
      <c r="P951" s="78" t="s">
        <v>583</v>
      </c>
      <c r="Q951" s="78" t="s">
        <v>1139</v>
      </c>
      <c r="R951" s="78" t="s">
        <v>1570</v>
      </c>
      <c r="S951" s="78"/>
      <c r="T951" s="78"/>
      <c r="U951" s="78"/>
      <c r="V951" s="78"/>
      <c r="W951" s="81" t="s">
        <v>1674</v>
      </c>
      <c r="X951" s="81" t="s">
        <v>1674</v>
      </c>
      <c r="Y951" s="78"/>
      <c r="Z951" s="78"/>
      <c r="AA951" s="81" t="s">
        <v>1674</v>
      </c>
      <c r="AB951" s="79">
        <v>1</v>
      </c>
      <c r="AC951" s="80" t="str">
        <f>REPLACE(INDEX(GroupVertices[Group],MATCH("~"&amp;Edges[[#This Row],[Vertex 1]],GroupVertices[Vertex],0)),1,1,"")</f>
        <v>3</v>
      </c>
      <c r="AD951" s="80" t="str">
        <f>REPLACE(INDEX(GroupVertices[Group],MATCH("~"&amp;Edges[[#This Row],[Vertex 2]],GroupVertices[Vertex],0)),1,1,"")</f>
        <v>2</v>
      </c>
      <c r="AE951" s="105"/>
      <c r="AF951" s="105"/>
      <c r="AG951" s="105"/>
      <c r="AH951" s="105"/>
      <c r="AI951" s="105"/>
      <c r="AJ951" s="105"/>
      <c r="AK951" s="105"/>
      <c r="AL951" s="105"/>
      <c r="AM951" s="105"/>
    </row>
    <row r="952" spans="1:39" ht="15">
      <c r="A952" s="62" t="s">
        <v>258</v>
      </c>
      <c r="B952" s="62" t="s">
        <v>270</v>
      </c>
      <c r="C952" s="63" t="s">
        <v>3598</v>
      </c>
      <c r="D952" s="64">
        <v>5</v>
      </c>
      <c r="E952" s="65" t="s">
        <v>132</v>
      </c>
      <c r="F952" s="66">
        <v>32</v>
      </c>
      <c r="G952" s="63"/>
      <c r="H952" s="67"/>
      <c r="I952" s="68"/>
      <c r="J952" s="68"/>
      <c r="K952" s="31" t="s">
        <v>65</v>
      </c>
      <c r="L952" s="76">
        <v>952</v>
      </c>
      <c r="M952" s="76"/>
      <c r="N952" s="70"/>
      <c r="O952" s="78" t="s">
        <v>305</v>
      </c>
      <c r="P952" s="78" t="s">
        <v>582</v>
      </c>
      <c r="Q952" s="78" t="s">
        <v>1140</v>
      </c>
      <c r="R952" s="78" t="s">
        <v>1569</v>
      </c>
      <c r="S952" s="78"/>
      <c r="T952" s="78"/>
      <c r="U952" s="78"/>
      <c r="V952" s="78"/>
      <c r="W952" s="81" t="s">
        <v>1674</v>
      </c>
      <c r="X952" s="81" t="s">
        <v>1674</v>
      </c>
      <c r="Y952" s="78"/>
      <c r="Z952" s="78"/>
      <c r="AA952" s="81" t="s">
        <v>1674</v>
      </c>
      <c r="AB952" s="79">
        <v>1</v>
      </c>
      <c r="AC952" s="80" t="str">
        <f>REPLACE(INDEX(GroupVertices[Group],MATCH("~"&amp;Edges[[#This Row],[Vertex 1]],GroupVertices[Vertex],0)),1,1,"")</f>
        <v>1</v>
      </c>
      <c r="AD952" s="80" t="str">
        <f>REPLACE(INDEX(GroupVertices[Group],MATCH("~"&amp;Edges[[#This Row],[Vertex 2]],GroupVertices[Vertex],0)),1,1,"")</f>
        <v>2</v>
      </c>
      <c r="AE952" s="105"/>
      <c r="AF952" s="105"/>
      <c r="AG952" s="105"/>
      <c r="AH952" s="105"/>
      <c r="AI952" s="105"/>
      <c r="AJ952" s="105"/>
      <c r="AK952" s="105"/>
      <c r="AL952" s="105"/>
      <c r="AM952" s="105"/>
    </row>
    <row r="953" spans="1:39" ht="15">
      <c r="A953" s="62" t="s">
        <v>247</v>
      </c>
      <c r="B953" s="62" t="s">
        <v>270</v>
      </c>
      <c r="C953" s="63" t="s">
        <v>3598</v>
      </c>
      <c r="D953" s="64">
        <v>5</v>
      </c>
      <c r="E953" s="65" t="s">
        <v>132</v>
      </c>
      <c r="F953" s="66">
        <v>32</v>
      </c>
      <c r="G953" s="63"/>
      <c r="H953" s="67"/>
      <c r="I953" s="68"/>
      <c r="J953" s="68"/>
      <c r="K953" s="31" t="s">
        <v>65</v>
      </c>
      <c r="L953" s="76">
        <v>953</v>
      </c>
      <c r="M953" s="76"/>
      <c r="N953" s="70"/>
      <c r="O953" s="78" t="s">
        <v>305</v>
      </c>
      <c r="P953" s="78" t="s">
        <v>584</v>
      </c>
      <c r="Q953" s="78" t="s">
        <v>1141</v>
      </c>
      <c r="R953" s="78" t="s">
        <v>1571</v>
      </c>
      <c r="S953" s="78"/>
      <c r="T953" s="78"/>
      <c r="U953" s="78"/>
      <c r="V953" s="78"/>
      <c r="W953" s="81" t="s">
        <v>1674</v>
      </c>
      <c r="X953" s="81" t="s">
        <v>1674</v>
      </c>
      <c r="Y953" s="78"/>
      <c r="Z953" s="78"/>
      <c r="AA953" s="81" t="s">
        <v>1674</v>
      </c>
      <c r="AB953" s="79">
        <v>1</v>
      </c>
      <c r="AC953" s="80" t="str">
        <f>REPLACE(INDEX(GroupVertices[Group],MATCH("~"&amp;Edges[[#This Row],[Vertex 1]],GroupVertices[Vertex],0)),1,1,"")</f>
        <v>2</v>
      </c>
      <c r="AD953" s="80" t="str">
        <f>REPLACE(INDEX(GroupVertices[Group],MATCH("~"&amp;Edges[[#This Row],[Vertex 2]],GroupVertices[Vertex],0)),1,1,"")</f>
        <v>2</v>
      </c>
      <c r="AE953" s="105"/>
      <c r="AF953" s="105"/>
      <c r="AG953" s="105"/>
      <c r="AH953" s="105"/>
      <c r="AI953" s="105"/>
      <c r="AJ953" s="105"/>
      <c r="AK953" s="105"/>
      <c r="AL953" s="105"/>
      <c r="AM953" s="105"/>
    </row>
    <row r="954" spans="1:39" ht="15">
      <c r="A954" s="62" t="s">
        <v>271</v>
      </c>
      <c r="B954" s="62" t="s">
        <v>270</v>
      </c>
      <c r="C954" s="63" t="s">
        <v>3598</v>
      </c>
      <c r="D954" s="64">
        <v>5</v>
      </c>
      <c r="E954" s="65" t="s">
        <v>132</v>
      </c>
      <c r="F954" s="66">
        <v>32</v>
      </c>
      <c r="G954" s="63"/>
      <c r="H954" s="67"/>
      <c r="I954" s="68"/>
      <c r="J954" s="68"/>
      <c r="K954" s="31" t="s">
        <v>65</v>
      </c>
      <c r="L954" s="76">
        <v>954</v>
      </c>
      <c r="M954" s="76"/>
      <c r="N954" s="70"/>
      <c r="O954" s="78" t="s">
        <v>305</v>
      </c>
      <c r="P954" s="78" t="s">
        <v>408</v>
      </c>
      <c r="Q954" s="78" t="s">
        <v>839</v>
      </c>
      <c r="R954" s="78" t="s">
        <v>830</v>
      </c>
      <c r="S954" s="78"/>
      <c r="T954" s="78"/>
      <c r="U954" s="78"/>
      <c r="V954" s="78"/>
      <c r="W954" s="81" t="s">
        <v>1674</v>
      </c>
      <c r="X954" s="81" t="s">
        <v>1674</v>
      </c>
      <c r="Y954" s="78"/>
      <c r="Z954" s="78"/>
      <c r="AA954" s="81" t="s">
        <v>1674</v>
      </c>
      <c r="AB954" s="79">
        <v>1</v>
      </c>
      <c r="AC954" s="80" t="str">
        <f>REPLACE(INDEX(GroupVertices[Group],MATCH("~"&amp;Edges[[#This Row],[Vertex 1]],GroupVertices[Vertex],0)),1,1,"")</f>
        <v>2</v>
      </c>
      <c r="AD954" s="80" t="str">
        <f>REPLACE(INDEX(GroupVertices[Group],MATCH("~"&amp;Edges[[#This Row],[Vertex 2]],GroupVertices[Vertex],0)),1,1,"")</f>
        <v>2</v>
      </c>
      <c r="AE954" s="105"/>
      <c r="AF954" s="105"/>
      <c r="AG954" s="105"/>
      <c r="AH954" s="105"/>
      <c r="AI954" s="105"/>
      <c r="AJ954" s="105"/>
      <c r="AK954" s="105"/>
      <c r="AL954" s="105"/>
      <c r="AM954" s="105"/>
    </row>
    <row r="955" spans="1:39" ht="15">
      <c r="A955" s="62" t="s">
        <v>280</v>
      </c>
      <c r="B955" s="62" t="s">
        <v>270</v>
      </c>
      <c r="C955" s="63" t="s">
        <v>3598</v>
      </c>
      <c r="D955" s="64">
        <v>5.2631578947368425</v>
      </c>
      <c r="E955" s="65" t="s">
        <v>136</v>
      </c>
      <c r="F955" s="66">
        <v>31.50943396226415</v>
      </c>
      <c r="G955" s="63"/>
      <c r="H955" s="67"/>
      <c r="I955" s="68"/>
      <c r="J955" s="68"/>
      <c r="K955" s="31" t="s">
        <v>65</v>
      </c>
      <c r="L955" s="76">
        <v>955</v>
      </c>
      <c r="M955" s="76"/>
      <c r="N955" s="70"/>
      <c r="O955" s="78" t="s">
        <v>305</v>
      </c>
      <c r="P955" s="78" t="s">
        <v>582</v>
      </c>
      <c r="Q955" s="78" t="s">
        <v>1142</v>
      </c>
      <c r="R955" s="78" t="s">
        <v>1569</v>
      </c>
      <c r="S955" s="78"/>
      <c r="T955" s="78"/>
      <c r="U955" s="78"/>
      <c r="V955" s="78"/>
      <c r="W955" s="81" t="s">
        <v>1674</v>
      </c>
      <c r="X955" s="81" t="s">
        <v>1674</v>
      </c>
      <c r="Y955" s="78"/>
      <c r="Z955" s="78"/>
      <c r="AA955" s="81" t="s">
        <v>1674</v>
      </c>
      <c r="AB955" s="79">
        <v>2</v>
      </c>
      <c r="AC955" s="80" t="str">
        <f>REPLACE(INDEX(GroupVertices[Group],MATCH("~"&amp;Edges[[#This Row],[Vertex 1]],GroupVertices[Vertex],0)),1,1,"")</f>
        <v>3</v>
      </c>
      <c r="AD955" s="80" t="str">
        <f>REPLACE(INDEX(GroupVertices[Group],MATCH("~"&amp;Edges[[#This Row],[Vertex 2]],GroupVertices[Vertex],0)),1,1,"")</f>
        <v>2</v>
      </c>
      <c r="AE955" s="105"/>
      <c r="AF955" s="105"/>
      <c r="AG955" s="105"/>
      <c r="AH955" s="105"/>
      <c r="AI955" s="105"/>
      <c r="AJ955" s="105"/>
      <c r="AK955" s="105"/>
      <c r="AL955" s="105"/>
      <c r="AM955" s="105"/>
    </row>
    <row r="956" spans="1:39" ht="15">
      <c r="A956" s="62" t="s">
        <v>280</v>
      </c>
      <c r="B956" s="62" t="s">
        <v>270</v>
      </c>
      <c r="C956" s="63" t="s">
        <v>3598</v>
      </c>
      <c r="D956" s="64">
        <v>5.2631578947368425</v>
      </c>
      <c r="E956" s="65" t="s">
        <v>136</v>
      </c>
      <c r="F956" s="66">
        <v>31.50943396226415</v>
      </c>
      <c r="G956" s="63"/>
      <c r="H956" s="67"/>
      <c r="I956" s="68"/>
      <c r="J956" s="68"/>
      <c r="K956" s="31" t="s">
        <v>65</v>
      </c>
      <c r="L956" s="76">
        <v>956</v>
      </c>
      <c r="M956" s="76"/>
      <c r="N956" s="70"/>
      <c r="O956" s="78" t="s">
        <v>305</v>
      </c>
      <c r="P956" s="78" t="s">
        <v>580</v>
      </c>
      <c r="Q956" s="78" t="s">
        <v>1131</v>
      </c>
      <c r="R956" s="78" t="s">
        <v>1129</v>
      </c>
      <c r="S956" s="78"/>
      <c r="T956" s="78"/>
      <c r="U956" s="78"/>
      <c r="V956" s="78"/>
      <c r="W956" s="81" t="s">
        <v>1674</v>
      </c>
      <c r="X956" s="81" t="s">
        <v>1674</v>
      </c>
      <c r="Y956" s="78"/>
      <c r="Z956" s="78"/>
      <c r="AA956" s="81" t="s">
        <v>1674</v>
      </c>
      <c r="AB956" s="79">
        <v>2</v>
      </c>
      <c r="AC956" s="80" t="str">
        <f>REPLACE(INDEX(GroupVertices[Group],MATCH("~"&amp;Edges[[#This Row],[Vertex 1]],GroupVertices[Vertex],0)),1,1,"")</f>
        <v>3</v>
      </c>
      <c r="AD956" s="80" t="str">
        <f>REPLACE(INDEX(GroupVertices[Group],MATCH("~"&amp;Edges[[#This Row],[Vertex 2]],GroupVertices[Vertex],0)),1,1,"")</f>
        <v>2</v>
      </c>
      <c r="AE956" s="105"/>
      <c r="AF956" s="105"/>
      <c r="AG956" s="105"/>
      <c r="AH956" s="105"/>
      <c r="AI956" s="105"/>
      <c r="AJ956" s="105"/>
      <c r="AK956" s="105"/>
      <c r="AL956" s="105"/>
      <c r="AM956" s="105"/>
    </row>
    <row r="957" spans="1:39" ht="15">
      <c r="A957" s="62" t="s">
        <v>287</v>
      </c>
      <c r="B957" s="62" t="s">
        <v>270</v>
      </c>
      <c r="C957" s="63" t="s">
        <v>3598</v>
      </c>
      <c r="D957" s="64">
        <v>5</v>
      </c>
      <c r="E957" s="65" t="s">
        <v>132</v>
      </c>
      <c r="F957" s="66">
        <v>32</v>
      </c>
      <c r="G957" s="63"/>
      <c r="H957" s="67"/>
      <c r="I957" s="68"/>
      <c r="J957" s="68"/>
      <c r="K957" s="31" t="s">
        <v>65</v>
      </c>
      <c r="L957" s="76">
        <v>957</v>
      </c>
      <c r="M957" s="76"/>
      <c r="N957" s="70"/>
      <c r="O957" s="78" t="s">
        <v>305</v>
      </c>
      <c r="P957" s="78" t="s">
        <v>580</v>
      </c>
      <c r="Q957" s="78" t="s">
        <v>1132</v>
      </c>
      <c r="R957" s="78" t="s">
        <v>1129</v>
      </c>
      <c r="S957" s="78"/>
      <c r="T957" s="78"/>
      <c r="U957" s="78"/>
      <c r="V957" s="78"/>
      <c r="W957" s="81" t="s">
        <v>1674</v>
      </c>
      <c r="X957" s="81" t="s">
        <v>1674</v>
      </c>
      <c r="Y957" s="78"/>
      <c r="Z957" s="78"/>
      <c r="AA957" s="81" t="s">
        <v>1674</v>
      </c>
      <c r="AB957" s="79">
        <v>1</v>
      </c>
      <c r="AC957" s="80" t="str">
        <f>REPLACE(INDEX(GroupVertices[Group],MATCH("~"&amp;Edges[[#This Row],[Vertex 1]],GroupVertices[Vertex],0)),1,1,"")</f>
        <v>2</v>
      </c>
      <c r="AD957" s="80" t="str">
        <f>REPLACE(INDEX(GroupVertices[Group],MATCH("~"&amp;Edges[[#This Row],[Vertex 2]],GroupVertices[Vertex],0)),1,1,"")</f>
        <v>2</v>
      </c>
      <c r="AE957" s="105"/>
      <c r="AF957" s="105"/>
      <c r="AG957" s="105"/>
      <c r="AH957" s="105"/>
      <c r="AI957" s="105"/>
      <c r="AJ957" s="105"/>
      <c r="AK957" s="105"/>
      <c r="AL957" s="105"/>
      <c r="AM957" s="105"/>
    </row>
    <row r="958" spans="1:39" ht="15">
      <c r="A958" s="62" t="s">
        <v>243</v>
      </c>
      <c r="B958" s="62" t="s">
        <v>303</v>
      </c>
      <c r="C958" s="63" t="s">
        <v>3598</v>
      </c>
      <c r="D958" s="64">
        <v>5</v>
      </c>
      <c r="E958" s="65" t="s">
        <v>132</v>
      </c>
      <c r="F958" s="66">
        <v>32</v>
      </c>
      <c r="G958" s="63"/>
      <c r="H958" s="67"/>
      <c r="I958" s="68"/>
      <c r="J958" s="68"/>
      <c r="K958" s="31" t="s">
        <v>65</v>
      </c>
      <c r="L958" s="76">
        <v>958</v>
      </c>
      <c r="M958" s="76"/>
      <c r="N958" s="70"/>
      <c r="O958" s="78" t="s">
        <v>305</v>
      </c>
      <c r="P958" s="78" t="s">
        <v>566</v>
      </c>
      <c r="Q958" s="78" t="s">
        <v>1143</v>
      </c>
      <c r="R958" s="78" t="s">
        <v>1553</v>
      </c>
      <c r="S958" s="78"/>
      <c r="T958" s="78"/>
      <c r="U958" s="78"/>
      <c r="V958" s="78"/>
      <c r="W958" s="81" t="s">
        <v>1674</v>
      </c>
      <c r="X958" s="81" t="s">
        <v>1674</v>
      </c>
      <c r="Y958" s="78"/>
      <c r="Z958" s="78"/>
      <c r="AA958" s="81" t="s">
        <v>1674</v>
      </c>
      <c r="AB958" s="79">
        <v>1</v>
      </c>
      <c r="AC958" s="80" t="str">
        <f>REPLACE(INDEX(GroupVertices[Group],MATCH("~"&amp;Edges[[#This Row],[Vertex 1]],GroupVertices[Vertex],0)),1,1,"")</f>
        <v>5</v>
      </c>
      <c r="AD958" s="80" t="str">
        <f>REPLACE(INDEX(GroupVertices[Group],MATCH("~"&amp;Edges[[#This Row],[Vertex 2]],GroupVertices[Vertex],0)),1,1,"")</f>
        <v>3</v>
      </c>
      <c r="AE958" s="105"/>
      <c r="AF958" s="105"/>
      <c r="AG958" s="105"/>
      <c r="AH958" s="105"/>
      <c r="AI958" s="105"/>
      <c r="AJ958" s="105"/>
      <c r="AK958" s="105"/>
      <c r="AL958" s="105"/>
      <c r="AM958" s="105"/>
    </row>
    <row r="959" spans="1:39" ht="15">
      <c r="A959" s="62" t="s">
        <v>243</v>
      </c>
      <c r="B959" s="62" t="s">
        <v>249</v>
      </c>
      <c r="C959" s="63" t="s">
        <v>3602</v>
      </c>
      <c r="D959" s="64">
        <v>5.526315789473684</v>
      </c>
      <c r="E959" s="65" t="s">
        <v>136</v>
      </c>
      <c r="F959" s="66">
        <v>31.0188679245283</v>
      </c>
      <c r="G959" s="63"/>
      <c r="H959" s="67"/>
      <c r="I959" s="68"/>
      <c r="J959" s="68"/>
      <c r="K959" s="31" t="s">
        <v>65</v>
      </c>
      <c r="L959" s="76">
        <v>959</v>
      </c>
      <c r="M959" s="76"/>
      <c r="N959" s="70"/>
      <c r="O959" s="78" t="s">
        <v>305</v>
      </c>
      <c r="P959" s="78" t="s">
        <v>468</v>
      </c>
      <c r="Q959" s="78" t="s">
        <v>1134</v>
      </c>
      <c r="R959" s="78" t="s">
        <v>1443</v>
      </c>
      <c r="S959" s="78"/>
      <c r="T959" s="78"/>
      <c r="U959" s="78"/>
      <c r="V959" s="78"/>
      <c r="W959" s="81" t="s">
        <v>1674</v>
      </c>
      <c r="X959" s="81" t="s">
        <v>1674</v>
      </c>
      <c r="Y959" s="78"/>
      <c r="Z959" s="78"/>
      <c r="AA959" s="81" t="s">
        <v>1674</v>
      </c>
      <c r="AB959" s="79">
        <v>3</v>
      </c>
      <c r="AC959" s="80" t="str">
        <f>REPLACE(INDEX(GroupVertices[Group],MATCH("~"&amp;Edges[[#This Row],[Vertex 1]],GroupVertices[Vertex],0)),1,1,"")</f>
        <v>5</v>
      </c>
      <c r="AD959" s="80" t="str">
        <f>REPLACE(INDEX(GroupVertices[Group],MATCH("~"&amp;Edges[[#This Row],[Vertex 2]],GroupVertices[Vertex],0)),1,1,"")</f>
        <v>2</v>
      </c>
      <c r="AE959" s="105"/>
      <c r="AF959" s="105"/>
      <c r="AG959" s="105"/>
      <c r="AH959" s="105"/>
      <c r="AI959" s="105"/>
      <c r="AJ959" s="105"/>
      <c r="AK959" s="105"/>
      <c r="AL959" s="105"/>
      <c r="AM959" s="105"/>
    </row>
    <row r="960" spans="1:39" ht="15">
      <c r="A960" s="62" t="s">
        <v>243</v>
      </c>
      <c r="B960" s="62" t="s">
        <v>249</v>
      </c>
      <c r="C960" s="63" t="s">
        <v>3602</v>
      </c>
      <c r="D960" s="64">
        <v>5.526315789473684</v>
      </c>
      <c r="E960" s="65" t="s">
        <v>136</v>
      </c>
      <c r="F960" s="66">
        <v>31.0188679245283</v>
      </c>
      <c r="G960" s="63"/>
      <c r="H960" s="67"/>
      <c r="I960" s="68"/>
      <c r="J960" s="68"/>
      <c r="K960" s="31" t="s">
        <v>65</v>
      </c>
      <c r="L960" s="76">
        <v>960</v>
      </c>
      <c r="M960" s="76"/>
      <c r="N960" s="70"/>
      <c r="O960" s="78" t="s">
        <v>305</v>
      </c>
      <c r="P960" s="78" t="s">
        <v>468</v>
      </c>
      <c r="Q960" s="78" t="s">
        <v>1135</v>
      </c>
      <c r="R960" s="78" t="s">
        <v>1443</v>
      </c>
      <c r="S960" s="78"/>
      <c r="T960" s="78"/>
      <c r="U960" s="78"/>
      <c r="V960" s="78"/>
      <c r="W960" s="81" t="s">
        <v>1674</v>
      </c>
      <c r="X960" s="81" t="s">
        <v>1674</v>
      </c>
      <c r="Y960" s="78"/>
      <c r="Z960" s="78"/>
      <c r="AA960" s="81" t="s">
        <v>1674</v>
      </c>
      <c r="AB960" s="79">
        <v>3</v>
      </c>
      <c r="AC960" s="80" t="str">
        <f>REPLACE(INDEX(GroupVertices[Group],MATCH("~"&amp;Edges[[#This Row],[Vertex 1]],GroupVertices[Vertex],0)),1,1,"")</f>
        <v>5</v>
      </c>
      <c r="AD960" s="80" t="str">
        <f>REPLACE(INDEX(GroupVertices[Group],MATCH("~"&amp;Edges[[#This Row],[Vertex 2]],GroupVertices[Vertex],0)),1,1,"")</f>
        <v>2</v>
      </c>
      <c r="AE960" s="105"/>
      <c r="AF960" s="105"/>
      <c r="AG960" s="105"/>
      <c r="AH960" s="105"/>
      <c r="AI960" s="105"/>
      <c r="AJ960" s="105"/>
      <c r="AK960" s="105"/>
      <c r="AL960" s="105"/>
      <c r="AM960" s="105"/>
    </row>
    <row r="961" spans="1:39" ht="15">
      <c r="A961" s="62" t="s">
        <v>243</v>
      </c>
      <c r="B961" s="62" t="s">
        <v>249</v>
      </c>
      <c r="C961" s="63" t="s">
        <v>3602</v>
      </c>
      <c r="D961" s="64">
        <v>5.526315789473684</v>
      </c>
      <c r="E961" s="65" t="s">
        <v>136</v>
      </c>
      <c r="F961" s="66">
        <v>31.0188679245283</v>
      </c>
      <c r="G961" s="63"/>
      <c r="H961" s="67"/>
      <c r="I961" s="68"/>
      <c r="J961" s="68"/>
      <c r="K961" s="31" t="s">
        <v>65</v>
      </c>
      <c r="L961" s="76">
        <v>961</v>
      </c>
      <c r="M961" s="76"/>
      <c r="N961" s="70"/>
      <c r="O961" s="78" t="s">
        <v>305</v>
      </c>
      <c r="P961" s="78" t="s">
        <v>468</v>
      </c>
      <c r="Q961" s="78" t="s">
        <v>1136</v>
      </c>
      <c r="R961" s="78" t="s">
        <v>1443</v>
      </c>
      <c r="S961" s="78"/>
      <c r="T961" s="78"/>
      <c r="U961" s="78"/>
      <c r="V961" s="78"/>
      <c r="W961" s="81" t="s">
        <v>1674</v>
      </c>
      <c r="X961" s="81" t="s">
        <v>1674</v>
      </c>
      <c r="Y961" s="78"/>
      <c r="Z961" s="78"/>
      <c r="AA961" s="81" t="s">
        <v>1674</v>
      </c>
      <c r="AB961" s="79">
        <v>3</v>
      </c>
      <c r="AC961" s="80" t="str">
        <f>REPLACE(INDEX(GroupVertices[Group],MATCH("~"&amp;Edges[[#This Row],[Vertex 1]],GroupVertices[Vertex],0)),1,1,"")</f>
        <v>5</v>
      </c>
      <c r="AD961" s="80" t="str">
        <f>REPLACE(INDEX(GroupVertices[Group],MATCH("~"&amp;Edges[[#This Row],[Vertex 2]],GroupVertices[Vertex],0)),1,1,"")</f>
        <v>2</v>
      </c>
      <c r="AE961" s="105"/>
      <c r="AF961" s="105"/>
      <c r="AG961" s="105"/>
      <c r="AH961" s="105"/>
      <c r="AI961" s="105"/>
      <c r="AJ961" s="105"/>
      <c r="AK961" s="105"/>
      <c r="AL961" s="105"/>
      <c r="AM961" s="105"/>
    </row>
    <row r="962" spans="1:39" ht="15">
      <c r="A962" s="62" t="s">
        <v>245</v>
      </c>
      <c r="B962" s="62" t="s">
        <v>243</v>
      </c>
      <c r="C962" s="63" t="s">
        <v>3598</v>
      </c>
      <c r="D962" s="64">
        <v>5.2631578947368425</v>
      </c>
      <c r="E962" s="65" t="s">
        <v>136</v>
      </c>
      <c r="F962" s="66">
        <v>31.50943396226415</v>
      </c>
      <c r="G962" s="63"/>
      <c r="H962" s="67"/>
      <c r="I962" s="68"/>
      <c r="J962" s="68"/>
      <c r="K962" s="31" t="s">
        <v>65</v>
      </c>
      <c r="L962" s="76">
        <v>962</v>
      </c>
      <c r="M962" s="76"/>
      <c r="N962" s="70"/>
      <c r="O962" s="78" t="s">
        <v>305</v>
      </c>
      <c r="P962" s="78" t="s">
        <v>549</v>
      </c>
      <c r="Q962" s="78" t="s">
        <v>1144</v>
      </c>
      <c r="R962" s="78" t="s">
        <v>1535</v>
      </c>
      <c r="S962" s="78"/>
      <c r="T962" s="78"/>
      <c r="U962" s="78"/>
      <c r="V962" s="78"/>
      <c r="W962" s="81" t="s">
        <v>1674</v>
      </c>
      <c r="X962" s="81" t="s">
        <v>1674</v>
      </c>
      <c r="Y962" s="78"/>
      <c r="Z962" s="78"/>
      <c r="AA962" s="81" t="s">
        <v>1674</v>
      </c>
      <c r="AB962" s="79">
        <v>2</v>
      </c>
      <c r="AC962" s="80" t="str">
        <f>REPLACE(INDEX(GroupVertices[Group],MATCH("~"&amp;Edges[[#This Row],[Vertex 1]],GroupVertices[Vertex],0)),1,1,"")</f>
        <v>1</v>
      </c>
      <c r="AD962" s="80" t="str">
        <f>REPLACE(INDEX(GroupVertices[Group],MATCH("~"&amp;Edges[[#This Row],[Vertex 2]],GroupVertices[Vertex],0)),1,1,"")</f>
        <v>5</v>
      </c>
      <c r="AE962" s="105"/>
      <c r="AF962" s="105"/>
      <c r="AG962" s="105"/>
      <c r="AH962" s="105"/>
      <c r="AI962" s="105"/>
      <c r="AJ962" s="105"/>
      <c r="AK962" s="105"/>
      <c r="AL962" s="105"/>
      <c r="AM962" s="105"/>
    </row>
    <row r="963" spans="1:39" ht="15">
      <c r="A963" s="62" t="s">
        <v>245</v>
      </c>
      <c r="B963" s="62" t="s">
        <v>243</v>
      </c>
      <c r="C963" s="63" t="s">
        <v>3598</v>
      </c>
      <c r="D963" s="64">
        <v>5.2631578947368425</v>
      </c>
      <c r="E963" s="65" t="s">
        <v>136</v>
      </c>
      <c r="F963" s="66">
        <v>31.50943396226415</v>
      </c>
      <c r="G963" s="63"/>
      <c r="H963" s="67"/>
      <c r="I963" s="68"/>
      <c r="J963" s="68"/>
      <c r="K963" s="31" t="s">
        <v>65</v>
      </c>
      <c r="L963" s="76">
        <v>963</v>
      </c>
      <c r="M963" s="76"/>
      <c r="N963" s="70"/>
      <c r="O963" s="78" t="s">
        <v>305</v>
      </c>
      <c r="P963" s="78" t="s">
        <v>549</v>
      </c>
      <c r="Q963" s="78" t="s">
        <v>1145</v>
      </c>
      <c r="R963" s="78" t="s">
        <v>1535</v>
      </c>
      <c r="S963" s="78"/>
      <c r="T963" s="78"/>
      <c r="U963" s="78"/>
      <c r="V963" s="78"/>
      <c r="W963" s="81" t="s">
        <v>1674</v>
      </c>
      <c r="X963" s="81" t="s">
        <v>1674</v>
      </c>
      <c r="Y963" s="78"/>
      <c r="Z963" s="78"/>
      <c r="AA963" s="81" t="s">
        <v>1674</v>
      </c>
      <c r="AB963" s="79">
        <v>2</v>
      </c>
      <c r="AC963" s="80" t="str">
        <f>REPLACE(INDEX(GroupVertices[Group],MATCH("~"&amp;Edges[[#This Row],[Vertex 1]],GroupVertices[Vertex],0)),1,1,"")</f>
        <v>1</v>
      </c>
      <c r="AD963" s="80" t="str">
        <f>REPLACE(INDEX(GroupVertices[Group],MATCH("~"&amp;Edges[[#This Row],[Vertex 2]],GroupVertices[Vertex],0)),1,1,"")</f>
        <v>5</v>
      </c>
      <c r="AE963" s="105"/>
      <c r="AF963" s="105"/>
      <c r="AG963" s="105"/>
      <c r="AH963" s="105"/>
      <c r="AI963" s="105"/>
      <c r="AJ963" s="105"/>
      <c r="AK963" s="105"/>
      <c r="AL963" s="105"/>
      <c r="AM963" s="105"/>
    </row>
    <row r="964" spans="1:39" ht="15">
      <c r="A964" s="62" t="s">
        <v>254</v>
      </c>
      <c r="B964" s="62" t="s">
        <v>243</v>
      </c>
      <c r="C964" s="63" t="s">
        <v>3608</v>
      </c>
      <c r="D964" s="64">
        <v>6.842105263157895</v>
      </c>
      <c r="E964" s="65" t="s">
        <v>136</v>
      </c>
      <c r="F964" s="66">
        <v>28.566037735849058</v>
      </c>
      <c r="G964" s="63"/>
      <c r="H964" s="67"/>
      <c r="I964" s="68"/>
      <c r="J964" s="68"/>
      <c r="K964" s="31" t="s">
        <v>65</v>
      </c>
      <c r="L964" s="76">
        <v>964</v>
      </c>
      <c r="M964" s="76"/>
      <c r="N964" s="70"/>
      <c r="O964" s="78" t="s">
        <v>305</v>
      </c>
      <c r="P964" s="78" t="s">
        <v>357</v>
      </c>
      <c r="Q964" s="78" t="s">
        <v>726</v>
      </c>
      <c r="R964" s="78" t="s">
        <v>714</v>
      </c>
      <c r="S964" s="78"/>
      <c r="T964" s="78"/>
      <c r="U964" s="78"/>
      <c r="V964" s="78"/>
      <c r="W964" s="81" t="s">
        <v>1674</v>
      </c>
      <c r="X964" s="81" t="s">
        <v>1674</v>
      </c>
      <c r="Y964" s="78"/>
      <c r="Z964" s="78"/>
      <c r="AA964" s="81" t="s">
        <v>1674</v>
      </c>
      <c r="AB964" s="79">
        <v>8</v>
      </c>
      <c r="AC964" s="80" t="str">
        <f>REPLACE(INDEX(GroupVertices[Group],MATCH("~"&amp;Edges[[#This Row],[Vertex 1]],GroupVertices[Vertex],0)),1,1,"")</f>
        <v>2</v>
      </c>
      <c r="AD964" s="80" t="str">
        <f>REPLACE(INDEX(GroupVertices[Group],MATCH("~"&amp;Edges[[#This Row],[Vertex 2]],GroupVertices[Vertex],0)),1,1,"")</f>
        <v>5</v>
      </c>
      <c r="AE964" s="105"/>
      <c r="AF964" s="105"/>
      <c r="AG964" s="105"/>
      <c r="AH964" s="105"/>
      <c r="AI964" s="105"/>
      <c r="AJ964" s="105"/>
      <c r="AK964" s="105"/>
      <c r="AL964" s="105"/>
      <c r="AM964" s="105"/>
    </row>
    <row r="965" spans="1:39" ht="15">
      <c r="A965" s="62" t="s">
        <v>254</v>
      </c>
      <c r="B965" s="62" t="s">
        <v>243</v>
      </c>
      <c r="C965" s="63" t="s">
        <v>3608</v>
      </c>
      <c r="D965" s="64">
        <v>6.842105263157895</v>
      </c>
      <c r="E965" s="65" t="s">
        <v>136</v>
      </c>
      <c r="F965" s="66">
        <v>28.566037735849058</v>
      </c>
      <c r="G965" s="63"/>
      <c r="H965" s="67"/>
      <c r="I965" s="68"/>
      <c r="J965" s="68"/>
      <c r="K965" s="31" t="s">
        <v>65</v>
      </c>
      <c r="L965" s="76">
        <v>965</v>
      </c>
      <c r="M965" s="76"/>
      <c r="N965" s="70"/>
      <c r="O965" s="78" t="s">
        <v>305</v>
      </c>
      <c r="P965" s="78" t="s">
        <v>357</v>
      </c>
      <c r="Q965" s="78" t="s">
        <v>726</v>
      </c>
      <c r="R965" s="78" t="s">
        <v>715</v>
      </c>
      <c r="S965" s="78"/>
      <c r="T965" s="78"/>
      <c r="U965" s="78"/>
      <c r="V965" s="78"/>
      <c r="W965" s="81" t="s">
        <v>1674</v>
      </c>
      <c r="X965" s="81" t="s">
        <v>1674</v>
      </c>
      <c r="Y965" s="78"/>
      <c r="Z965" s="78"/>
      <c r="AA965" s="81" t="s">
        <v>1674</v>
      </c>
      <c r="AB965" s="79">
        <v>8</v>
      </c>
      <c r="AC965" s="80" t="str">
        <f>REPLACE(INDEX(GroupVertices[Group],MATCH("~"&amp;Edges[[#This Row],[Vertex 1]],GroupVertices[Vertex],0)),1,1,"")</f>
        <v>2</v>
      </c>
      <c r="AD965" s="80" t="str">
        <f>REPLACE(INDEX(GroupVertices[Group],MATCH("~"&amp;Edges[[#This Row],[Vertex 2]],GroupVertices[Vertex],0)),1,1,"")</f>
        <v>5</v>
      </c>
      <c r="AE965" s="105"/>
      <c r="AF965" s="105"/>
      <c r="AG965" s="105"/>
      <c r="AH965" s="105"/>
      <c r="AI965" s="105"/>
      <c r="AJ965" s="105"/>
      <c r="AK965" s="105"/>
      <c r="AL965" s="105"/>
      <c r="AM965" s="105"/>
    </row>
    <row r="966" spans="1:39" ht="15">
      <c r="A966" s="62" t="s">
        <v>254</v>
      </c>
      <c r="B966" s="62" t="s">
        <v>243</v>
      </c>
      <c r="C966" s="63" t="s">
        <v>3608</v>
      </c>
      <c r="D966" s="64">
        <v>6.842105263157895</v>
      </c>
      <c r="E966" s="65" t="s">
        <v>136</v>
      </c>
      <c r="F966" s="66">
        <v>28.566037735849058</v>
      </c>
      <c r="G966" s="63"/>
      <c r="H966" s="67"/>
      <c r="I966" s="68"/>
      <c r="J966" s="68"/>
      <c r="K966" s="31" t="s">
        <v>65</v>
      </c>
      <c r="L966" s="76">
        <v>966</v>
      </c>
      <c r="M966" s="76"/>
      <c r="N966" s="70"/>
      <c r="O966" s="78" t="s">
        <v>305</v>
      </c>
      <c r="P966" s="78" t="s">
        <v>585</v>
      </c>
      <c r="Q966" s="78" t="s">
        <v>1146</v>
      </c>
      <c r="R966" s="78" t="s">
        <v>1572</v>
      </c>
      <c r="S966" s="78"/>
      <c r="T966" s="78"/>
      <c r="U966" s="78"/>
      <c r="V966" s="78"/>
      <c r="W966" s="81" t="s">
        <v>1674</v>
      </c>
      <c r="X966" s="81" t="s">
        <v>1674</v>
      </c>
      <c r="Y966" s="78"/>
      <c r="Z966" s="78"/>
      <c r="AA966" s="81" t="s">
        <v>1674</v>
      </c>
      <c r="AB966" s="79">
        <v>8</v>
      </c>
      <c r="AC966" s="80" t="str">
        <f>REPLACE(INDEX(GroupVertices[Group],MATCH("~"&amp;Edges[[#This Row],[Vertex 1]],GroupVertices[Vertex],0)),1,1,"")</f>
        <v>2</v>
      </c>
      <c r="AD966" s="80" t="str">
        <f>REPLACE(INDEX(GroupVertices[Group],MATCH("~"&amp;Edges[[#This Row],[Vertex 2]],GroupVertices[Vertex],0)),1,1,"")</f>
        <v>5</v>
      </c>
      <c r="AE966" s="105"/>
      <c r="AF966" s="105"/>
      <c r="AG966" s="105"/>
      <c r="AH966" s="105"/>
      <c r="AI966" s="105"/>
      <c r="AJ966" s="105"/>
      <c r="AK966" s="105"/>
      <c r="AL966" s="105"/>
      <c r="AM966" s="105"/>
    </row>
    <row r="967" spans="1:39" ht="15">
      <c r="A967" s="62" t="s">
        <v>254</v>
      </c>
      <c r="B967" s="62" t="s">
        <v>243</v>
      </c>
      <c r="C967" s="63" t="s">
        <v>3608</v>
      </c>
      <c r="D967" s="64">
        <v>6.842105263157895</v>
      </c>
      <c r="E967" s="65" t="s">
        <v>136</v>
      </c>
      <c r="F967" s="66">
        <v>28.566037735849058</v>
      </c>
      <c r="G967" s="63"/>
      <c r="H967" s="67"/>
      <c r="I967" s="68"/>
      <c r="J967" s="68"/>
      <c r="K967" s="31" t="s">
        <v>65</v>
      </c>
      <c r="L967" s="76">
        <v>967</v>
      </c>
      <c r="M967" s="76"/>
      <c r="N967" s="70"/>
      <c r="O967" s="78" t="s">
        <v>305</v>
      </c>
      <c r="P967" s="78" t="s">
        <v>357</v>
      </c>
      <c r="Q967" s="78" t="s">
        <v>727</v>
      </c>
      <c r="R967" s="78" t="s">
        <v>714</v>
      </c>
      <c r="S967" s="78"/>
      <c r="T967" s="78"/>
      <c r="U967" s="78"/>
      <c r="V967" s="78"/>
      <c r="W967" s="81" t="s">
        <v>1674</v>
      </c>
      <c r="X967" s="81" t="s">
        <v>1674</v>
      </c>
      <c r="Y967" s="78"/>
      <c r="Z967" s="78"/>
      <c r="AA967" s="81" t="s">
        <v>1674</v>
      </c>
      <c r="AB967" s="79">
        <v>8</v>
      </c>
      <c r="AC967" s="80" t="str">
        <f>REPLACE(INDEX(GroupVertices[Group],MATCH("~"&amp;Edges[[#This Row],[Vertex 1]],GroupVertices[Vertex],0)),1,1,"")</f>
        <v>2</v>
      </c>
      <c r="AD967" s="80" t="str">
        <f>REPLACE(INDEX(GroupVertices[Group],MATCH("~"&amp;Edges[[#This Row],[Vertex 2]],GroupVertices[Vertex],0)),1,1,"")</f>
        <v>5</v>
      </c>
      <c r="AE967" s="105"/>
      <c r="AF967" s="105"/>
      <c r="AG967" s="105"/>
      <c r="AH967" s="105"/>
      <c r="AI967" s="105"/>
      <c r="AJ967" s="105"/>
      <c r="AK967" s="105"/>
      <c r="AL967" s="105"/>
      <c r="AM967" s="105"/>
    </row>
    <row r="968" spans="1:39" ht="15">
      <c r="A968" s="62" t="s">
        <v>254</v>
      </c>
      <c r="B968" s="62" t="s">
        <v>243</v>
      </c>
      <c r="C968" s="63" t="s">
        <v>3608</v>
      </c>
      <c r="D968" s="64">
        <v>6.842105263157895</v>
      </c>
      <c r="E968" s="65" t="s">
        <v>136</v>
      </c>
      <c r="F968" s="66">
        <v>28.566037735849058</v>
      </c>
      <c r="G968" s="63"/>
      <c r="H968" s="67"/>
      <c r="I968" s="68"/>
      <c r="J968" s="68"/>
      <c r="K968" s="31" t="s">
        <v>65</v>
      </c>
      <c r="L968" s="76">
        <v>968</v>
      </c>
      <c r="M968" s="76"/>
      <c r="N968" s="70"/>
      <c r="O968" s="78" t="s">
        <v>305</v>
      </c>
      <c r="P968" s="78" t="s">
        <v>357</v>
      </c>
      <c r="Q968" s="78" t="s">
        <v>727</v>
      </c>
      <c r="R968" s="78" t="s">
        <v>715</v>
      </c>
      <c r="S968" s="78"/>
      <c r="T968" s="78"/>
      <c r="U968" s="78"/>
      <c r="V968" s="78"/>
      <c r="W968" s="81" t="s">
        <v>1674</v>
      </c>
      <c r="X968" s="81" t="s">
        <v>1674</v>
      </c>
      <c r="Y968" s="78"/>
      <c r="Z968" s="78"/>
      <c r="AA968" s="81" t="s">
        <v>1674</v>
      </c>
      <c r="AB968" s="79">
        <v>8</v>
      </c>
      <c r="AC968" s="80" t="str">
        <f>REPLACE(INDEX(GroupVertices[Group],MATCH("~"&amp;Edges[[#This Row],[Vertex 1]],GroupVertices[Vertex],0)),1,1,"")</f>
        <v>2</v>
      </c>
      <c r="AD968" s="80" t="str">
        <f>REPLACE(INDEX(GroupVertices[Group],MATCH("~"&amp;Edges[[#This Row],[Vertex 2]],GroupVertices[Vertex],0)),1,1,"")</f>
        <v>5</v>
      </c>
      <c r="AE968" s="105"/>
      <c r="AF968" s="105"/>
      <c r="AG968" s="105"/>
      <c r="AH968" s="105"/>
      <c r="AI968" s="105"/>
      <c r="AJ968" s="105"/>
      <c r="AK968" s="105"/>
      <c r="AL968" s="105"/>
      <c r="AM968" s="105"/>
    </row>
    <row r="969" spans="1:39" ht="15">
      <c r="A969" s="62" t="s">
        <v>254</v>
      </c>
      <c r="B969" s="62" t="s">
        <v>243</v>
      </c>
      <c r="C969" s="63" t="s">
        <v>3608</v>
      </c>
      <c r="D969" s="64">
        <v>6.842105263157895</v>
      </c>
      <c r="E969" s="65" t="s">
        <v>136</v>
      </c>
      <c r="F969" s="66">
        <v>28.566037735849058</v>
      </c>
      <c r="G969" s="63"/>
      <c r="H969" s="67"/>
      <c r="I969" s="68"/>
      <c r="J969" s="68"/>
      <c r="K969" s="31" t="s">
        <v>65</v>
      </c>
      <c r="L969" s="76">
        <v>969</v>
      </c>
      <c r="M969" s="76"/>
      <c r="N969" s="70"/>
      <c r="O969" s="78" t="s">
        <v>305</v>
      </c>
      <c r="P969" s="78" t="s">
        <v>586</v>
      </c>
      <c r="Q969" s="78" t="s">
        <v>1147</v>
      </c>
      <c r="R969" s="78" t="s">
        <v>1573</v>
      </c>
      <c r="S969" s="78"/>
      <c r="T969" s="78"/>
      <c r="U969" s="78"/>
      <c r="V969" s="78"/>
      <c r="W969" s="81" t="s">
        <v>1674</v>
      </c>
      <c r="X969" s="81" t="s">
        <v>1674</v>
      </c>
      <c r="Y969" s="78"/>
      <c r="Z969" s="78"/>
      <c r="AA969" s="81" t="s">
        <v>1674</v>
      </c>
      <c r="AB969" s="79">
        <v>8</v>
      </c>
      <c r="AC969" s="80" t="str">
        <f>REPLACE(INDEX(GroupVertices[Group],MATCH("~"&amp;Edges[[#This Row],[Vertex 1]],GroupVertices[Vertex],0)),1,1,"")</f>
        <v>2</v>
      </c>
      <c r="AD969" s="80" t="str">
        <f>REPLACE(INDEX(GroupVertices[Group],MATCH("~"&amp;Edges[[#This Row],[Vertex 2]],GroupVertices[Vertex],0)),1,1,"")</f>
        <v>5</v>
      </c>
      <c r="AE969" s="105"/>
      <c r="AF969" s="105"/>
      <c r="AG969" s="105"/>
      <c r="AH969" s="105"/>
      <c r="AI969" s="105"/>
      <c r="AJ969" s="105"/>
      <c r="AK969" s="105"/>
      <c r="AL969" s="105"/>
      <c r="AM969" s="105"/>
    </row>
    <row r="970" spans="1:39" ht="15">
      <c r="A970" s="62" t="s">
        <v>254</v>
      </c>
      <c r="B970" s="62" t="s">
        <v>243</v>
      </c>
      <c r="C970" s="63" t="s">
        <v>3608</v>
      </c>
      <c r="D970" s="64">
        <v>6.842105263157895</v>
      </c>
      <c r="E970" s="65" t="s">
        <v>136</v>
      </c>
      <c r="F970" s="66">
        <v>28.566037735849058</v>
      </c>
      <c r="G970" s="63"/>
      <c r="H970" s="67"/>
      <c r="I970" s="68"/>
      <c r="J970" s="68"/>
      <c r="K970" s="31" t="s">
        <v>65</v>
      </c>
      <c r="L970" s="76">
        <v>970</v>
      </c>
      <c r="M970" s="76"/>
      <c r="N970" s="70"/>
      <c r="O970" s="78" t="s">
        <v>305</v>
      </c>
      <c r="P970" s="78" t="s">
        <v>586</v>
      </c>
      <c r="Q970" s="78" t="s">
        <v>1148</v>
      </c>
      <c r="R970" s="78" t="s">
        <v>1573</v>
      </c>
      <c r="S970" s="78"/>
      <c r="T970" s="78"/>
      <c r="U970" s="78"/>
      <c r="V970" s="78"/>
      <c r="W970" s="81" t="s">
        <v>1674</v>
      </c>
      <c r="X970" s="81" t="s">
        <v>1674</v>
      </c>
      <c r="Y970" s="78"/>
      <c r="Z970" s="78"/>
      <c r="AA970" s="81" t="s">
        <v>1674</v>
      </c>
      <c r="AB970" s="79">
        <v>8</v>
      </c>
      <c r="AC970" s="80" t="str">
        <f>REPLACE(INDEX(GroupVertices[Group],MATCH("~"&amp;Edges[[#This Row],[Vertex 1]],GroupVertices[Vertex],0)),1,1,"")</f>
        <v>2</v>
      </c>
      <c r="AD970" s="80" t="str">
        <f>REPLACE(INDEX(GroupVertices[Group],MATCH("~"&amp;Edges[[#This Row],[Vertex 2]],GroupVertices[Vertex],0)),1,1,"")</f>
        <v>5</v>
      </c>
      <c r="AE970" s="105"/>
      <c r="AF970" s="105"/>
      <c r="AG970" s="105"/>
      <c r="AH970" s="105"/>
      <c r="AI970" s="105"/>
      <c r="AJ970" s="105"/>
      <c r="AK970" s="105"/>
      <c r="AL970" s="105"/>
      <c r="AM970" s="105"/>
    </row>
    <row r="971" spans="1:39" ht="15">
      <c r="A971" s="62" t="s">
        <v>254</v>
      </c>
      <c r="B971" s="62" t="s">
        <v>243</v>
      </c>
      <c r="C971" s="63" t="s">
        <v>3608</v>
      </c>
      <c r="D971" s="64">
        <v>6.842105263157895</v>
      </c>
      <c r="E971" s="65" t="s">
        <v>136</v>
      </c>
      <c r="F971" s="66">
        <v>28.566037735849058</v>
      </c>
      <c r="G971" s="63"/>
      <c r="H971" s="67"/>
      <c r="I971" s="68"/>
      <c r="J971" s="68"/>
      <c r="K971" s="31" t="s">
        <v>65</v>
      </c>
      <c r="L971" s="76">
        <v>971</v>
      </c>
      <c r="M971" s="76"/>
      <c r="N971" s="70"/>
      <c r="O971" s="78" t="s">
        <v>305</v>
      </c>
      <c r="P971" s="78" t="s">
        <v>587</v>
      </c>
      <c r="Q971" s="78" t="s">
        <v>1149</v>
      </c>
      <c r="R971" s="78" t="s">
        <v>1574</v>
      </c>
      <c r="S971" s="78"/>
      <c r="T971" s="78"/>
      <c r="U971" s="78"/>
      <c r="V971" s="78"/>
      <c r="W971" s="81" t="s">
        <v>1674</v>
      </c>
      <c r="X971" s="81" t="s">
        <v>1674</v>
      </c>
      <c r="Y971" s="78"/>
      <c r="Z971" s="78"/>
      <c r="AA971" s="81" t="s">
        <v>1674</v>
      </c>
      <c r="AB971" s="79">
        <v>8</v>
      </c>
      <c r="AC971" s="80" t="str">
        <f>REPLACE(INDEX(GroupVertices[Group],MATCH("~"&amp;Edges[[#This Row],[Vertex 1]],GroupVertices[Vertex],0)),1,1,"")</f>
        <v>2</v>
      </c>
      <c r="AD971" s="80" t="str">
        <f>REPLACE(INDEX(GroupVertices[Group],MATCH("~"&amp;Edges[[#This Row],[Vertex 2]],GroupVertices[Vertex],0)),1,1,"")</f>
        <v>5</v>
      </c>
      <c r="AE971" s="105"/>
      <c r="AF971" s="105"/>
      <c r="AG971" s="105"/>
      <c r="AH971" s="105"/>
      <c r="AI971" s="105"/>
      <c r="AJ971" s="105"/>
      <c r="AK971" s="105"/>
      <c r="AL971" s="105"/>
      <c r="AM971" s="105"/>
    </row>
    <row r="972" spans="1:39" ht="15">
      <c r="A972" s="62" t="s">
        <v>256</v>
      </c>
      <c r="B972" s="62" t="s">
        <v>243</v>
      </c>
      <c r="C972" s="63" t="s">
        <v>3608</v>
      </c>
      <c r="D972" s="64">
        <v>6.842105263157895</v>
      </c>
      <c r="E972" s="65" t="s">
        <v>136</v>
      </c>
      <c r="F972" s="66">
        <v>28.566037735849058</v>
      </c>
      <c r="G972" s="63"/>
      <c r="H972" s="67"/>
      <c r="I972" s="68"/>
      <c r="J972" s="68"/>
      <c r="K972" s="31" t="s">
        <v>65</v>
      </c>
      <c r="L972" s="76">
        <v>972</v>
      </c>
      <c r="M972" s="76"/>
      <c r="N972" s="70"/>
      <c r="O972" s="78" t="s">
        <v>305</v>
      </c>
      <c r="P972" s="78" t="s">
        <v>587</v>
      </c>
      <c r="Q972" s="78" t="s">
        <v>1150</v>
      </c>
      <c r="R972" s="78" t="s">
        <v>1574</v>
      </c>
      <c r="S972" s="78"/>
      <c r="T972" s="78"/>
      <c r="U972" s="78"/>
      <c r="V972" s="78"/>
      <c r="W972" s="81" t="s">
        <v>1674</v>
      </c>
      <c r="X972" s="81" t="s">
        <v>1674</v>
      </c>
      <c r="Y972" s="78"/>
      <c r="Z972" s="78"/>
      <c r="AA972" s="81" t="s">
        <v>1674</v>
      </c>
      <c r="AB972" s="79">
        <v>8</v>
      </c>
      <c r="AC972" s="80" t="str">
        <f>REPLACE(INDEX(GroupVertices[Group],MATCH("~"&amp;Edges[[#This Row],[Vertex 1]],GroupVertices[Vertex],0)),1,1,"")</f>
        <v>1</v>
      </c>
      <c r="AD972" s="80" t="str">
        <f>REPLACE(INDEX(GroupVertices[Group],MATCH("~"&amp;Edges[[#This Row],[Vertex 2]],GroupVertices[Vertex],0)),1,1,"")</f>
        <v>5</v>
      </c>
      <c r="AE972" s="105"/>
      <c r="AF972" s="105"/>
      <c r="AG972" s="105"/>
      <c r="AH972" s="105"/>
      <c r="AI972" s="105"/>
      <c r="AJ972" s="105"/>
      <c r="AK972" s="105"/>
      <c r="AL972" s="105"/>
      <c r="AM972" s="105"/>
    </row>
    <row r="973" spans="1:39" ht="15">
      <c r="A973" s="62" t="s">
        <v>256</v>
      </c>
      <c r="B973" s="62" t="s">
        <v>243</v>
      </c>
      <c r="C973" s="63" t="s">
        <v>3608</v>
      </c>
      <c r="D973" s="64">
        <v>6.842105263157895</v>
      </c>
      <c r="E973" s="65" t="s">
        <v>136</v>
      </c>
      <c r="F973" s="66">
        <v>28.566037735849058</v>
      </c>
      <c r="G973" s="63"/>
      <c r="H973" s="67"/>
      <c r="I973" s="68"/>
      <c r="J973" s="68"/>
      <c r="K973" s="31" t="s">
        <v>65</v>
      </c>
      <c r="L973" s="76">
        <v>973</v>
      </c>
      <c r="M973" s="76"/>
      <c r="N973" s="70"/>
      <c r="O973" s="78" t="s">
        <v>305</v>
      </c>
      <c r="P973" s="78" t="s">
        <v>357</v>
      </c>
      <c r="Q973" s="78" t="s">
        <v>732</v>
      </c>
      <c r="R973" s="78" t="s">
        <v>714</v>
      </c>
      <c r="S973" s="78"/>
      <c r="T973" s="78"/>
      <c r="U973" s="78"/>
      <c r="V973" s="78"/>
      <c r="W973" s="81" t="s">
        <v>1674</v>
      </c>
      <c r="X973" s="81" t="s">
        <v>1674</v>
      </c>
      <c r="Y973" s="78"/>
      <c r="Z973" s="78"/>
      <c r="AA973" s="81" t="s">
        <v>1674</v>
      </c>
      <c r="AB973" s="79">
        <v>8</v>
      </c>
      <c r="AC973" s="80" t="str">
        <f>REPLACE(INDEX(GroupVertices[Group],MATCH("~"&amp;Edges[[#This Row],[Vertex 1]],GroupVertices[Vertex],0)),1,1,"")</f>
        <v>1</v>
      </c>
      <c r="AD973" s="80" t="str">
        <f>REPLACE(INDEX(GroupVertices[Group],MATCH("~"&amp;Edges[[#This Row],[Vertex 2]],GroupVertices[Vertex],0)),1,1,"")</f>
        <v>5</v>
      </c>
      <c r="AE973" s="105"/>
      <c r="AF973" s="105"/>
      <c r="AG973" s="105"/>
      <c r="AH973" s="105"/>
      <c r="AI973" s="105"/>
      <c r="AJ973" s="105"/>
      <c r="AK973" s="105"/>
      <c r="AL973" s="105"/>
      <c r="AM973" s="105"/>
    </row>
    <row r="974" spans="1:39" ht="15">
      <c r="A974" s="62" t="s">
        <v>256</v>
      </c>
      <c r="B974" s="62" t="s">
        <v>243</v>
      </c>
      <c r="C974" s="63" t="s">
        <v>3608</v>
      </c>
      <c r="D974" s="64">
        <v>6.842105263157895</v>
      </c>
      <c r="E974" s="65" t="s">
        <v>136</v>
      </c>
      <c r="F974" s="66">
        <v>28.566037735849058</v>
      </c>
      <c r="G974" s="63"/>
      <c r="H974" s="67"/>
      <c r="I974" s="68"/>
      <c r="J974" s="68"/>
      <c r="K974" s="31" t="s">
        <v>65</v>
      </c>
      <c r="L974" s="76">
        <v>974</v>
      </c>
      <c r="M974" s="76"/>
      <c r="N974" s="70"/>
      <c r="O974" s="78" t="s">
        <v>305</v>
      </c>
      <c r="P974" s="78" t="s">
        <v>357</v>
      </c>
      <c r="Q974" s="78" t="s">
        <v>732</v>
      </c>
      <c r="R974" s="78" t="s">
        <v>715</v>
      </c>
      <c r="S974" s="78"/>
      <c r="T974" s="78"/>
      <c r="U974" s="78"/>
      <c r="V974" s="78"/>
      <c r="W974" s="81" t="s">
        <v>1674</v>
      </c>
      <c r="X974" s="81" t="s">
        <v>1674</v>
      </c>
      <c r="Y974" s="78"/>
      <c r="Z974" s="78"/>
      <c r="AA974" s="81" t="s">
        <v>1674</v>
      </c>
      <c r="AB974" s="79">
        <v>8</v>
      </c>
      <c r="AC974" s="80" t="str">
        <f>REPLACE(INDEX(GroupVertices[Group],MATCH("~"&amp;Edges[[#This Row],[Vertex 1]],GroupVertices[Vertex],0)),1,1,"")</f>
        <v>1</v>
      </c>
      <c r="AD974" s="80" t="str">
        <f>REPLACE(INDEX(GroupVertices[Group],MATCH("~"&amp;Edges[[#This Row],[Vertex 2]],GroupVertices[Vertex],0)),1,1,"")</f>
        <v>5</v>
      </c>
      <c r="AE974" s="105"/>
      <c r="AF974" s="105"/>
      <c r="AG974" s="105"/>
      <c r="AH974" s="105"/>
      <c r="AI974" s="105"/>
      <c r="AJ974" s="105"/>
      <c r="AK974" s="105"/>
      <c r="AL974" s="105"/>
      <c r="AM974" s="105"/>
    </row>
    <row r="975" spans="1:39" ht="15">
      <c r="A975" s="62" t="s">
        <v>256</v>
      </c>
      <c r="B975" s="62" t="s">
        <v>243</v>
      </c>
      <c r="C975" s="63" t="s">
        <v>3608</v>
      </c>
      <c r="D975" s="64">
        <v>6.842105263157895</v>
      </c>
      <c r="E975" s="65" t="s">
        <v>136</v>
      </c>
      <c r="F975" s="66">
        <v>28.566037735849058</v>
      </c>
      <c r="G975" s="63"/>
      <c r="H975" s="67"/>
      <c r="I975" s="68"/>
      <c r="J975" s="68"/>
      <c r="K975" s="31" t="s">
        <v>65</v>
      </c>
      <c r="L975" s="76">
        <v>975</v>
      </c>
      <c r="M975" s="76"/>
      <c r="N975" s="70"/>
      <c r="O975" s="78" t="s">
        <v>305</v>
      </c>
      <c r="P975" s="78" t="s">
        <v>357</v>
      </c>
      <c r="Q975" s="78" t="s">
        <v>732</v>
      </c>
      <c r="R975" s="78" t="s">
        <v>714</v>
      </c>
      <c r="S975" s="78"/>
      <c r="T975" s="78"/>
      <c r="U975" s="78"/>
      <c r="V975" s="78"/>
      <c r="W975" s="81" t="s">
        <v>1674</v>
      </c>
      <c r="X975" s="81" t="s">
        <v>1674</v>
      </c>
      <c r="Y975" s="78"/>
      <c r="Z975" s="78"/>
      <c r="AA975" s="81" t="s">
        <v>1674</v>
      </c>
      <c r="AB975" s="79">
        <v>8</v>
      </c>
      <c r="AC975" s="80" t="str">
        <f>REPLACE(INDEX(GroupVertices[Group],MATCH("~"&amp;Edges[[#This Row],[Vertex 1]],GroupVertices[Vertex],0)),1,1,"")</f>
        <v>1</v>
      </c>
      <c r="AD975" s="80" t="str">
        <f>REPLACE(INDEX(GroupVertices[Group],MATCH("~"&amp;Edges[[#This Row],[Vertex 2]],GroupVertices[Vertex],0)),1,1,"")</f>
        <v>5</v>
      </c>
      <c r="AE975" s="105"/>
      <c r="AF975" s="105"/>
      <c r="AG975" s="105"/>
      <c r="AH975" s="105"/>
      <c r="AI975" s="105"/>
      <c r="AJ975" s="105"/>
      <c r="AK975" s="105"/>
      <c r="AL975" s="105"/>
      <c r="AM975" s="105"/>
    </row>
    <row r="976" spans="1:39" ht="15">
      <c r="A976" s="62" t="s">
        <v>256</v>
      </c>
      <c r="B976" s="62" t="s">
        <v>243</v>
      </c>
      <c r="C976" s="63" t="s">
        <v>3608</v>
      </c>
      <c r="D976" s="64">
        <v>6.842105263157895</v>
      </c>
      <c r="E976" s="65" t="s">
        <v>136</v>
      </c>
      <c r="F976" s="66">
        <v>28.566037735849058</v>
      </c>
      <c r="G976" s="63"/>
      <c r="H976" s="67"/>
      <c r="I976" s="68"/>
      <c r="J976" s="68"/>
      <c r="K976" s="31" t="s">
        <v>65</v>
      </c>
      <c r="L976" s="76">
        <v>976</v>
      </c>
      <c r="M976" s="76"/>
      <c r="N976" s="70"/>
      <c r="O976" s="78" t="s">
        <v>305</v>
      </c>
      <c r="P976" s="78" t="s">
        <v>357</v>
      </c>
      <c r="Q976" s="78" t="s">
        <v>732</v>
      </c>
      <c r="R976" s="78" t="s">
        <v>715</v>
      </c>
      <c r="S976" s="78"/>
      <c r="T976" s="78"/>
      <c r="U976" s="78"/>
      <c r="V976" s="78"/>
      <c r="W976" s="81" t="s">
        <v>1674</v>
      </c>
      <c r="X976" s="81" t="s">
        <v>1674</v>
      </c>
      <c r="Y976" s="78"/>
      <c r="Z976" s="78"/>
      <c r="AA976" s="81" t="s">
        <v>1674</v>
      </c>
      <c r="AB976" s="79">
        <v>8</v>
      </c>
      <c r="AC976" s="80" t="str">
        <f>REPLACE(INDEX(GroupVertices[Group],MATCH("~"&amp;Edges[[#This Row],[Vertex 1]],GroupVertices[Vertex],0)),1,1,"")</f>
        <v>1</v>
      </c>
      <c r="AD976" s="80" t="str">
        <f>REPLACE(INDEX(GroupVertices[Group],MATCH("~"&amp;Edges[[#This Row],[Vertex 2]],GroupVertices[Vertex],0)),1,1,"")</f>
        <v>5</v>
      </c>
      <c r="AE976" s="105"/>
      <c r="AF976" s="105"/>
      <c r="AG976" s="105"/>
      <c r="AH976" s="105"/>
      <c r="AI976" s="105"/>
      <c r="AJ976" s="105"/>
      <c r="AK976" s="105"/>
      <c r="AL976" s="105"/>
      <c r="AM976" s="105"/>
    </row>
    <row r="977" spans="1:39" ht="15">
      <c r="A977" s="62" t="s">
        <v>256</v>
      </c>
      <c r="B977" s="62" t="s">
        <v>243</v>
      </c>
      <c r="C977" s="63" t="s">
        <v>3608</v>
      </c>
      <c r="D977" s="64">
        <v>6.842105263157895</v>
      </c>
      <c r="E977" s="65" t="s">
        <v>136</v>
      </c>
      <c r="F977" s="66">
        <v>28.566037735849058</v>
      </c>
      <c r="G977" s="63"/>
      <c r="H977" s="67"/>
      <c r="I977" s="68"/>
      <c r="J977" s="68"/>
      <c r="K977" s="31" t="s">
        <v>65</v>
      </c>
      <c r="L977" s="76">
        <v>977</v>
      </c>
      <c r="M977" s="76"/>
      <c r="N977" s="70"/>
      <c r="O977" s="78" t="s">
        <v>305</v>
      </c>
      <c r="P977" s="78" t="s">
        <v>588</v>
      </c>
      <c r="Q977" s="78" t="s">
        <v>1151</v>
      </c>
      <c r="R977" s="78" t="s">
        <v>1575</v>
      </c>
      <c r="S977" s="78"/>
      <c r="T977" s="78"/>
      <c r="U977" s="78"/>
      <c r="V977" s="78"/>
      <c r="W977" s="81" t="s">
        <v>1674</v>
      </c>
      <c r="X977" s="81" t="s">
        <v>1674</v>
      </c>
      <c r="Y977" s="78"/>
      <c r="Z977" s="78"/>
      <c r="AA977" s="81" t="s">
        <v>1674</v>
      </c>
      <c r="AB977" s="79">
        <v>8</v>
      </c>
      <c r="AC977" s="80" t="str">
        <f>REPLACE(INDEX(GroupVertices[Group],MATCH("~"&amp;Edges[[#This Row],[Vertex 1]],GroupVertices[Vertex],0)),1,1,"")</f>
        <v>1</v>
      </c>
      <c r="AD977" s="80" t="str">
        <f>REPLACE(INDEX(GroupVertices[Group],MATCH("~"&amp;Edges[[#This Row],[Vertex 2]],GroupVertices[Vertex],0)),1,1,"")</f>
        <v>5</v>
      </c>
      <c r="AE977" s="105"/>
      <c r="AF977" s="105"/>
      <c r="AG977" s="105"/>
      <c r="AH977" s="105"/>
      <c r="AI977" s="105"/>
      <c r="AJ977" s="105"/>
      <c r="AK977" s="105"/>
      <c r="AL977" s="105"/>
      <c r="AM977" s="105"/>
    </row>
    <row r="978" spans="1:39" ht="15">
      <c r="A978" s="62" t="s">
        <v>256</v>
      </c>
      <c r="B978" s="62" t="s">
        <v>243</v>
      </c>
      <c r="C978" s="63" t="s">
        <v>3608</v>
      </c>
      <c r="D978" s="64">
        <v>6.842105263157895</v>
      </c>
      <c r="E978" s="65" t="s">
        <v>136</v>
      </c>
      <c r="F978" s="66">
        <v>28.566037735849058</v>
      </c>
      <c r="G978" s="63"/>
      <c r="H978" s="67"/>
      <c r="I978" s="68"/>
      <c r="J978" s="68"/>
      <c r="K978" s="31" t="s">
        <v>65</v>
      </c>
      <c r="L978" s="76">
        <v>978</v>
      </c>
      <c r="M978" s="76"/>
      <c r="N978" s="70"/>
      <c r="O978" s="78" t="s">
        <v>305</v>
      </c>
      <c r="P978" s="78" t="s">
        <v>589</v>
      </c>
      <c r="Q978" s="78" t="s">
        <v>1152</v>
      </c>
      <c r="R978" s="78" t="s">
        <v>1576</v>
      </c>
      <c r="S978" s="78"/>
      <c r="T978" s="78"/>
      <c r="U978" s="78"/>
      <c r="V978" s="78"/>
      <c r="W978" s="81" t="s">
        <v>1674</v>
      </c>
      <c r="X978" s="81" t="s">
        <v>1674</v>
      </c>
      <c r="Y978" s="78"/>
      <c r="Z978" s="78"/>
      <c r="AA978" s="81" t="s">
        <v>1674</v>
      </c>
      <c r="AB978" s="79">
        <v>8</v>
      </c>
      <c r="AC978" s="80" t="str">
        <f>REPLACE(INDEX(GroupVertices[Group],MATCH("~"&amp;Edges[[#This Row],[Vertex 1]],GroupVertices[Vertex],0)),1,1,"")</f>
        <v>1</v>
      </c>
      <c r="AD978" s="80" t="str">
        <f>REPLACE(INDEX(GroupVertices[Group],MATCH("~"&amp;Edges[[#This Row],[Vertex 2]],GroupVertices[Vertex],0)),1,1,"")</f>
        <v>5</v>
      </c>
      <c r="AE978" s="105"/>
      <c r="AF978" s="105"/>
      <c r="AG978" s="105"/>
      <c r="AH978" s="105"/>
      <c r="AI978" s="105"/>
      <c r="AJ978" s="105"/>
      <c r="AK978" s="105"/>
      <c r="AL978" s="105"/>
      <c r="AM978" s="105"/>
    </row>
    <row r="979" spans="1:39" ht="15">
      <c r="A979" s="62" t="s">
        <v>256</v>
      </c>
      <c r="B979" s="62" t="s">
        <v>243</v>
      </c>
      <c r="C979" s="63" t="s">
        <v>3608</v>
      </c>
      <c r="D979" s="64">
        <v>6.842105263157895</v>
      </c>
      <c r="E979" s="65" t="s">
        <v>136</v>
      </c>
      <c r="F979" s="66">
        <v>28.566037735849058</v>
      </c>
      <c r="G979" s="63"/>
      <c r="H979" s="67"/>
      <c r="I979" s="68"/>
      <c r="J979" s="68"/>
      <c r="K979" s="31" t="s">
        <v>65</v>
      </c>
      <c r="L979" s="76">
        <v>979</v>
      </c>
      <c r="M979" s="76"/>
      <c r="N979" s="70"/>
      <c r="O979" s="78" t="s">
        <v>305</v>
      </c>
      <c r="P979" s="78" t="s">
        <v>587</v>
      </c>
      <c r="Q979" s="78" t="s">
        <v>1153</v>
      </c>
      <c r="R979" s="78" t="s">
        <v>1574</v>
      </c>
      <c r="S979" s="78"/>
      <c r="T979" s="78"/>
      <c r="U979" s="78"/>
      <c r="V979" s="78"/>
      <c r="W979" s="81" t="s">
        <v>1674</v>
      </c>
      <c r="X979" s="81" t="s">
        <v>1674</v>
      </c>
      <c r="Y979" s="78"/>
      <c r="Z979" s="78"/>
      <c r="AA979" s="81" t="s">
        <v>1674</v>
      </c>
      <c r="AB979" s="79">
        <v>8</v>
      </c>
      <c r="AC979" s="80" t="str">
        <f>REPLACE(INDEX(GroupVertices[Group],MATCH("~"&amp;Edges[[#This Row],[Vertex 1]],GroupVertices[Vertex],0)),1,1,"")</f>
        <v>1</v>
      </c>
      <c r="AD979" s="80" t="str">
        <f>REPLACE(INDEX(GroupVertices[Group],MATCH("~"&amp;Edges[[#This Row],[Vertex 2]],GroupVertices[Vertex],0)),1,1,"")</f>
        <v>5</v>
      </c>
      <c r="AE979" s="105"/>
      <c r="AF979" s="105"/>
      <c r="AG979" s="105"/>
      <c r="AH979" s="105"/>
      <c r="AI979" s="105"/>
      <c r="AJ979" s="105"/>
      <c r="AK979" s="105"/>
      <c r="AL979" s="105"/>
      <c r="AM979" s="105"/>
    </row>
    <row r="980" spans="1:39" ht="15">
      <c r="A980" s="62" t="s">
        <v>287</v>
      </c>
      <c r="B980" s="62" t="s">
        <v>243</v>
      </c>
      <c r="C980" s="63" t="s">
        <v>3598</v>
      </c>
      <c r="D980" s="64">
        <v>5</v>
      </c>
      <c r="E980" s="65" t="s">
        <v>132</v>
      </c>
      <c r="F980" s="66">
        <v>32</v>
      </c>
      <c r="G980" s="63"/>
      <c r="H980" s="67"/>
      <c r="I980" s="68"/>
      <c r="J980" s="68"/>
      <c r="K980" s="31" t="s">
        <v>65</v>
      </c>
      <c r="L980" s="76">
        <v>980</v>
      </c>
      <c r="M980" s="76"/>
      <c r="N980" s="70"/>
      <c r="O980" s="78" t="s">
        <v>305</v>
      </c>
      <c r="P980" s="78" t="s">
        <v>587</v>
      </c>
      <c r="Q980" s="78" t="s">
        <v>1154</v>
      </c>
      <c r="R980" s="78" t="s">
        <v>1574</v>
      </c>
      <c r="S980" s="78"/>
      <c r="T980" s="78"/>
      <c r="U980" s="78"/>
      <c r="V980" s="78"/>
      <c r="W980" s="81" t="s">
        <v>1674</v>
      </c>
      <c r="X980" s="81" t="s">
        <v>1674</v>
      </c>
      <c r="Y980" s="78"/>
      <c r="Z980" s="78"/>
      <c r="AA980" s="81" t="s">
        <v>1674</v>
      </c>
      <c r="AB980" s="79">
        <v>1</v>
      </c>
      <c r="AC980" s="80" t="str">
        <f>REPLACE(INDEX(GroupVertices[Group],MATCH("~"&amp;Edges[[#This Row],[Vertex 1]],GroupVertices[Vertex],0)),1,1,"")</f>
        <v>2</v>
      </c>
      <c r="AD980" s="80" t="str">
        <f>REPLACE(INDEX(GroupVertices[Group],MATCH("~"&amp;Edges[[#This Row],[Vertex 2]],GroupVertices[Vertex],0)),1,1,"")</f>
        <v>5</v>
      </c>
      <c r="AE980" s="105"/>
      <c r="AF980" s="105"/>
      <c r="AG980" s="105"/>
      <c r="AH980" s="105"/>
      <c r="AI980" s="105"/>
      <c r="AJ980" s="105"/>
      <c r="AK980" s="105"/>
      <c r="AL980" s="105"/>
      <c r="AM980" s="105"/>
    </row>
    <row r="981" spans="1:39" ht="15">
      <c r="A981" s="62" t="s">
        <v>254</v>
      </c>
      <c r="B981" s="62" t="s">
        <v>294</v>
      </c>
      <c r="C981" s="63" t="s">
        <v>3598</v>
      </c>
      <c r="D981" s="64">
        <v>5.2631578947368425</v>
      </c>
      <c r="E981" s="65" t="s">
        <v>136</v>
      </c>
      <c r="F981" s="66">
        <v>31.50943396226415</v>
      </c>
      <c r="G981" s="63"/>
      <c r="H981" s="67"/>
      <c r="I981" s="68"/>
      <c r="J981" s="68"/>
      <c r="K981" s="31" t="s">
        <v>65</v>
      </c>
      <c r="L981" s="76">
        <v>981</v>
      </c>
      <c r="M981" s="76"/>
      <c r="N981" s="70"/>
      <c r="O981" s="78" t="s">
        <v>305</v>
      </c>
      <c r="P981" s="78" t="s">
        <v>524</v>
      </c>
      <c r="Q981" s="78" t="s">
        <v>1042</v>
      </c>
      <c r="R981" s="78" t="s">
        <v>1500</v>
      </c>
      <c r="S981" s="78"/>
      <c r="T981" s="78"/>
      <c r="U981" s="78"/>
      <c r="V981" s="78"/>
      <c r="W981" s="81" t="s">
        <v>1674</v>
      </c>
      <c r="X981" s="81" t="s">
        <v>1674</v>
      </c>
      <c r="Y981" s="78"/>
      <c r="Z981" s="78"/>
      <c r="AA981" s="81" t="s">
        <v>1674</v>
      </c>
      <c r="AB981" s="79">
        <v>2</v>
      </c>
      <c r="AC981" s="80" t="str">
        <f>REPLACE(INDEX(GroupVertices[Group],MATCH("~"&amp;Edges[[#This Row],[Vertex 1]],GroupVertices[Vertex],0)),1,1,"")</f>
        <v>2</v>
      </c>
      <c r="AD981" s="80" t="str">
        <f>REPLACE(INDEX(GroupVertices[Group],MATCH("~"&amp;Edges[[#This Row],[Vertex 2]],GroupVertices[Vertex],0)),1,1,"")</f>
        <v>2</v>
      </c>
      <c r="AE981" s="105"/>
      <c r="AF981" s="105"/>
      <c r="AG981" s="105"/>
      <c r="AH981" s="105"/>
      <c r="AI981" s="105"/>
      <c r="AJ981" s="105"/>
      <c r="AK981" s="105"/>
      <c r="AL981" s="105"/>
      <c r="AM981" s="105"/>
    </row>
    <row r="982" spans="1:39" ht="15">
      <c r="A982" s="62" t="s">
        <v>254</v>
      </c>
      <c r="B982" s="62" t="s">
        <v>294</v>
      </c>
      <c r="C982" s="63" t="s">
        <v>3598</v>
      </c>
      <c r="D982" s="64">
        <v>5.2631578947368425</v>
      </c>
      <c r="E982" s="65" t="s">
        <v>136</v>
      </c>
      <c r="F982" s="66">
        <v>31.50943396226415</v>
      </c>
      <c r="G982" s="63"/>
      <c r="H982" s="67"/>
      <c r="I982" s="68"/>
      <c r="J982" s="68"/>
      <c r="K982" s="31" t="s">
        <v>65</v>
      </c>
      <c r="L982" s="76">
        <v>982</v>
      </c>
      <c r="M982" s="76"/>
      <c r="N982" s="70"/>
      <c r="O982" s="78" t="s">
        <v>305</v>
      </c>
      <c r="P982" s="78" t="s">
        <v>434</v>
      </c>
      <c r="Q982" s="78" t="s">
        <v>878</v>
      </c>
      <c r="R982" s="78" t="s">
        <v>1406</v>
      </c>
      <c r="S982" s="78"/>
      <c r="T982" s="78"/>
      <c r="U982" s="78"/>
      <c r="V982" s="78"/>
      <c r="W982" s="81" t="s">
        <v>1674</v>
      </c>
      <c r="X982" s="81" t="s">
        <v>1674</v>
      </c>
      <c r="Y982" s="78"/>
      <c r="Z982" s="78"/>
      <c r="AA982" s="81" t="s">
        <v>1674</v>
      </c>
      <c r="AB982" s="79">
        <v>2</v>
      </c>
      <c r="AC982" s="80" t="str">
        <f>REPLACE(INDEX(GroupVertices[Group],MATCH("~"&amp;Edges[[#This Row],[Vertex 1]],GroupVertices[Vertex],0)),1,1,"")</f>
        <v>2</v>
      </c>
      <c r="AD982" s="80" t="str">
        <f>REPLACE(INDEX(GroupVertices[Group],MATCH("~"&amp;Edges[[#This Row],[Vertex 2]],GroupVertices[Vertex],0)),1,1,"")</f>
        <v>2</v>
      </c>
      <c r="AE982" s="105"/>
      <c r="AF982" s="105"/>
      <c r="AG982" s="105"/>
      <c r="AH982" s="105"/>
      <c r="AI982" s="105"/>
      <c r="AJ982" s="105"/>
      <c r="AK982" s="105"/>
      <c r="AL982" s="105"/>
      <c r="AM982" s="105"/>
    </row>
    <row r="983" spans="1:39" ht="15">
      <c r="A983" s="62" t="s">
        <v>254</v>
      </c>
      <c r="B983" s="62" t="s">
        <v>249</v>
      </c>
      <c r="C983" s="63" t="s">
        <v>3611</v>
      </c>
      <c r="D983" s="64">
        <v>9.736842105263158</v>
      </c>
      <c r="E983" s="65" t="s">
        <v>136</v>
      </c>
      <c r="F983" s="66">
        <v>23.169811320754718</v>
      </c>
      <c r="G983" s="63"/>
      <c r="H983" s="67"/>
      <c r="I983" s="68"/>
      <c r="J983" s="68"/>
      <c r="K983" s="31" t="s">
        <v>65</v>
      </c>
      <c r="L983" s="76">
        <v>983</v>
      </c>
      <c r="M983" s="76"/>
      <c r="N983" s="70"/>
      <c r="O983" s="78" t="s">
        <v>305</v>
      </c>
      <c r="P983" s="78" t="s">
        <v>590</v>
      </c>
      <c r="Q983" s="78" t="s">
        <v>1155</v>
      </c>
      <c r="R983" s="78" t="s">
        <v>1577</v>
      </c>
      <c r="S983" s="78"/>
      <c r="T983" s="78"/>
      <c r="U983" s="78"/>
      <c r="V983" s="78"/>
      <c r="W983" s="81" t="s">
        <v>1674</v>
      </c>
      <c r="X983" s="81" t="s">
        <v>1674</v>
      </c>
      <c r="Y983" s="78"/>
      <c r="Z983" s="78"/>
      <c r="AA983" s="81" t="s">
        <v>1674</v>
      </c>
      <c r="AB983" s="79">
        <v>19</v>
      </c>
      <c r="AC983" s="80" t="str">
        <f>REPLACE(INDEX(GroupVertices[Group],MATCH("~"&amp;Edges[[#This Row],[Vertex 1]],GroupVertices[Vertex],0)),1,1,"")</f>
        <v>2</v>
      </c>
      <c r="AD983" s="80" t="str">
        <f>REPLACE(INDEX(GroupVertices[Group],MATCH("~"&amp;Edges[[#This Row],[Vertex 2]],GroupVertices[Vertex],0)),1,1,"")</f>
        <v>2</v>
      </c>
      <c r="AE983" s="105"/>
      <c r="AF983" s="105"/>
      <c r="AG983" s="105"/>
      <c r="AH983" s="105"/>
      <c r="AI983" s="105"/>
      <c r="AJ983" s="105"/>
      <c r="AK983" s="105"/>
      <c r="AL983" s="105"/>
      <c r="AM983" s="105"/>
    </row>
    <row r="984" spans="1:39" ht="15">
      <c r="A984" s="62" t="s">
        <v>254</v>
      </c>
      <c r="B984" s="62" t="s">
        <v>249</v>
      </c>
      <c r="C984" s="63" t="s">
        <v>3611</v>
      </c>
      <c r="D984" s="64">
        <v>9.736842105263158</v>
      </c>
      <c r="E984" s="65" t="s">
        <v>136</v>
      </c>
      <c r="F984" s="66">
        <v>23.169811320754718</v>
      </c>
      <c r="G984" s="63"/>
      <c r="H984" s="67"/>
      <c r="I984" s="68"/>
      <c r="J984" s="68"/>
      <c r="K984" s="31" t="s">
        <v>65</v>
      </c>
      <c r="L984" s="76">
        <v>984</v>
      </c>
      <c r="M984" s="76"/>
      <c r="N984" s="70"/>
      <c r="O984" s="78" t="s">
        <v>305</v>
      </c>
      <c r="P984" s="78" t="s">
        <v>591</v>
      </c>
      <c r="Q984" s="78" t="s">
        <v>1156</v>
      </c>
      <c r="R984" s="78" t="s">
        <v>1578</v>
      </c>
      <c r="S984" s="78"/>
      <c r="T984" s="78"/>
      <c r="U984" s="78"/>
      <c r="V984" s="78"/>
      <c r="W984" s="81" t="s">
        <v>1674</v>
      </c>
      <c r="X984" s="81" t="s">
        <v>1674</v>
      </c>
      <c r="Y984" s="78"/>
      <c r="Z984" s="78"/>
      <c r="AA984" s="81" t="s">
        <v>1674</v>
      </c>
      <c r="AB984" s="79">
        <v>19</v>
      </c>
      <c r="AC984" s="80" t="str">
        <f>REPLACE(INDEX(GroupVertices[Group],MATCH("~"&amp;Edges[[#This Row],[Vertex 1]],GroupVertices[Vertex],0)),1,1,"")</f>
        <v>2</v>
      </c>
      <c r="AD984" s="80" t="str">
        <f>REPLACE(INDEX(GroupVertices[Group],MATCH("~"&amp;Edges[[#This Row],[Vertex 2]],GroupVertices[Vertex],0)),1,1,"")</f>
        <v>2</v>
      </c>
      <c r="AE984" s="105"/>
      <c r="AF984" s="105"/>
      <c r="AG984" s="105"/>
      <c r="AH984" s="105"/>
      <c r="AI984" s="105"/>
      <c r="AJ984" s="105"/>
      <c r="AK984" s="105"/>
      <c r="AL984" s="105"/>
      <c r="AM984" s="105"/>
    </row>
    <row r="985" spans="1:39" ht="15">
      <c r="A985" s="62" t="s">
        <v>254</v>
      </c>
      <c r="B985" s="62" t="s">
        <v>249</v>
      </c>
      <c r="C985" s="63" t="s">
        <v>3611</v>
      </c>
      <c r="D985" s="64">
        <v>9.736842105263158</v>
      </c>
      <c r="E985" s="65" t="s">
        <v>136</v>
      </c>
      <c r="F985" s="66">
        <v>23.169811320754718</v>
      </c>
      <c r="G985" s="63"/>
      <c r="H985" s="67"/>
      <c r="I985" s="68"/>
      <c r="J985" s="68"/>
      <c r="K985" s="31" t="s">
        <v>65</v>
      </c>
      <c r="L985" s="76">
        <v>985</v>
      </c>
      <c r="M985" s="76"/>
      <c r="N985" s="70"/>
      <c r="O985" s="78" t="s">
        <v>305</v>
      </c>
      <c r="P985" s="78" t="s">
        <v>591</v>
      </c>
      <c r="Q985" s="78" t="s">
        <v>1156</v>
      </c>
      <c r="R985" s="78" t="s">
        <v>1579</v>
      </c>
      <c r="S985" s="78"/>
      <c r="T985" s="78"/>
      <c r="U985" s="78"/>
      <c r="V985" s="78"/>
      <c r="W985" s="81" t="s">
        <v>1674</v>
      </c>
      <c r="X985" s="81" t="s">
        <v>1674</v>
      </c>
      <c r="Y985" s="78"/>
      <c r="Z985" s="78"/>
      <c r="AA985" s="81" t="s">
        <v>1674</v>
      </c>
      <c r="AB985" s="79">
        <v>19</v>
      </c>
      <c r="AC985" s="80" t="str">
        <f>REPLACE(INDEX(GroupVertices[Group],MATCH("~"&amp;Edges[[#This Row],[Vertex 1]],GroupVertices[Vertex],0)),1,1,"")</f>
        <v>2</v>
      </c>
      <c r="AD985" s="80" t="str">
        <f>REPLACE(INDEX(GroupVertices[Group],MATCH("~"&amp;Edges[[#This Row],[Vertex 2]],GroupVertices[Vertex],0)),1,1,"")</f>
        <v>2</v>
      </c>
      <c r="AE985" s="105"/>
      <c r="AF985" s="105"/>
      <c r="AG985" s="105"/>
      <c r="AH985" s="105"/>
      <c r="AI985" s="105"/>
      <c r="AJ985" s="105"/>
      <c r="AK985" s="105"/>
      <c r="AL985" s="105"/>
      <c r="AM985" s="105"/>
    </row>
    <row r="986" spans="1:39" ht="15">
      <c r="A986" s="62" t="s">
        <v>254</v>
      </c>
      <c r="B986" s="62" t="s">
        <v>249</v>
      </c>
      <c r="C986" s="63" t="s">
        <v>3611</v>
      </c>
      <c r="D986" s="64">
        <v>9.736842105263158</v>
      </c>
      <c r="E986" s="65" t="s">
        <v>136</v>
      </c>
      <c r="F986" s="66">
        <v>23.169811320754718</v>
      </c>
      <c r="G986" s="63"/>
      <c r="H986" s="67"/>
      <c r="I986" s="68"/>
      <c r="J986" s="68"/>
      <c r="K986" s="31" t="s">
        <v>65</v>
      </c>
      <c r="L986" s="76">
        <v>986</v>
      </c>
      <c r="M986" s="76"/>
      <c r="N986" s="70"/>
      <c r="O986" s="78" t="s">
        <v>305</v>
      </c>
      <c r="P986" s="78" t="s">
        <v>591</v>
      </c>
      <c r="Q986" s="78" t="s">
        <v>1156</v>
      </c>
      <c r="R986" s="78" t="s">
        <v>1580</v>
      </c>
      <c r="S986" s="78"/>
      <c r="T986" s="78"/>
      <c r="U986" s="78"/>
      <c r="V986" s="78"/>
      <c r="W986" s="81" t="s">
        <v>1674</v>
      </c>
      <c r="X986" s="81" t="s">
        <v>1674</v>
      </c>
      <c r="Y986" s="78"/>
      <c r="Z986" s="78"/>
      <c r="AA986" s="81" t="s">
        <v>1674</v>
      </c>
      <c r="AB986" s="79">
        <v>19</v>
      </c>
      <c r="AC986" s="80" t="str">
        <f>REPLACE(INDEX(GroupVertices[Group],MATCH("~"&amp;Edges[[#This Row],[Vertex 1]],GroupVertices[Vertex],0)),1,1,"")</f>
        <v>2</v>
      </c>
      <c r="AD986" s="80" t="str">
        <f>REPLACE(INDEX(GroupVertices[Group],MATCH("~"&amp;Edges[[#This Row],[Vertex 2]],GroupVertices[Vertex],0)),1,1,"")</f>
        <v>2</v>
      </c>
      <c r="AE986" s="105"/>
      <c r="AF986" s="105"/>
      <c r="AG986" s="105"/>
      <c r="AH986" s="105"/>
      <c r="AI986" s="105"/>
      <c r="AJ986" s="105"/>
      <c r="AK986" s="105"/>
      <c r="AL986" s="105"/>
      <c r="AM986" s="105"/>
    </row>
    <row r="987" spans="1:39" ht="15">
      <c r="A987" s="62" t="s">
        <v>254</v>
      </c>
      <c r="B987" s="62" t="s">
        <v>249</v>
      </c>
      <c r="C987" s="63" t="s">
        <v>3611</v>
      </c>
      <c r="D987" s="64">
        <v>9.736842105263158</v>
      </c>
      <c r="E987" s="65" t="s">
        <v>136</v>
      </c>
      <c r="F987" s="66">
        <v>23.169811320754718</v>
      </c>
      <c r="G987" s="63"/>
      <c r="H987" s="67"/>
      <c r="I987" s="68"/>
      <c r="J987" s="68"/>
      <c r="K987" s="31" t="s">
        <v>65</v>
      </c>
      <c r="L987" s="76">
        <v>987</v>
      </c>
      <c r="M987" s="76"/>
      <c r="N987" s="70"/>
      <c r="O987" s="78" t="s">
        <v>305</v>
      </c>
      <c r="P987" s="78" t="s">
        <v>434</v>
      </c>
      <c r="Q987" s="78" t="s">
        <v>878</v>
      </c>
      <c r="R987" s="78" t="s">
        <v>868</v>
      </c>
      <c r="S987" s="78"/>
      <c r="T987" s="78"/>
      <c r="U987" s="78"/>
      <c r="V987" s="78"/>
      <c r="W987" s="81" t="s">
        <v>1674</v>
      </c>
      <c r="X987" s="81" t="s">
        <v>1674</v>
      </c>
      <c r="Y987" s="78"/>
      <c r="Z987" s="78"/>
      <c r="AA987" s="81" t="s">
        <v>1674</v>
      </c>
      <c r="AB987" s="79">
        <v>19</v>
      </c>
      <c r="AC987" s="80" t="str">
        <f>REPLACE(INDEX(GroupVertices[Group],MATCH("~"&amp;Edges[[#This Row],[Vertex 1]],GroupVertices[Vertex],0)),1,1,"")</f>
        <v>2</v>
      </c>
      <c r="AD987" s="80" t="str">
        <f>REPLACE(INDEX(GroupVertices[Group],MATCH("~"&amp;Edges[[#This Row],[Vertex 2]],GroupVertices[Vertex],0)),1,1,"")</f>
        <v>2</v>
      </c>
      <c r="AE987" s="105"/>
      <c r="AF987" s="105"/>
      <c r="AG987" s="105"/>
      <c r="AH987" s="105"/>
      <c r="AI987" s="105"/>
      <c r="AJ987" s="105"/>
      <c r="AK987" s="105"/>
      <c r="AL987" s="105"/>
      <c r="AM987" s="105"/>
    </row>
    <row r="988" spans="1:39" ht="15">
      <c r="A988" s="62" t="s">
        <v>254</v>
      </c>
      <c r="B988" s="62" t="s">
        <v>249</v>
      </c>
      <c r="C988" s="63" t="s">
        <v>3611</v>
      </c>
      <c r="D988" s="64">
        <v>9.736842105263158</v>
      </c>
      <c r="E988" s="65" t="s">
        <v>136</v>
      </c>
      <c r="F988" s="66">
        <v>23.169811320754718</v>
      </c>
      <c r="G988" s="63"/>
      <c r="H988" s="67"/>
      <c r="I988" s="68"/>
      <c r="J988" s="68"/>
      <c r="K988" s="31" t="s">
        <v>65</v>
      </c>
      <c r="L988" s="76">
        <v>988</v>
      </c>
      <c r="M988" s="76"/>
      <c r="N988" s="70"/>
      <c r="O988" s="78" t="s">
        <v>305</v>
      </c>
      <c r="P988" s="78" t="s">
        <v>434</v>
      </c>
      <c r="Q988" s="78" t="s">
        <v>878</v>
      </c>
      <c r="R988" s="78" t="s">
        <v>869</v>
      </c>
      <c r="S988" s="78"/>
      <c r="T988" s="78"/>
      <c r="U988" s="78"/>
      <c r="V988" s="78"/>
      <c r="W988" s="81" t="s">
        <v>1674</v>
      </c>
      <c r="X988" s="81" t="s">
        <v>1674</v>
      </c>
      <c r="Y988" s="78"/>
      <c r="Z988" s="78"/>
      <c r="AA988" s="81" t="s">
        <v>1674</v>
      </c>
      <c r="AB988" s="79">
        <v>19</v>
      </c>
      <c r="AC988" s="80" t="str">
        <f>REPLACE(INDEX(GroupVertices[Group],MATCH("~"&amp;Edges[[#This Row],[Vertex 1]],GroupVertices[Vertex],0)),1,1,"")</f>
        <v>2</v>
      </c>
      <c r="AD988" s="80" t="str">
        <f>REPLACE(INDEX(GroupVertices[Group],MATCH("~"&amp;Edges[[#This Row],[Vertex 2]],GroupVertices[Vertex],0)),1,1,"")</f>
        <v>2</v>
      </c>
      <c r="AE988" s="105"/>
      <c r="AF988" s="105"/>
      <c r="AG988" s="105"/>
      <c r="AH988" s="105"/>
      <c r="AI988" s="105"/>
      <c r="AJ988" s="105"/>
      <c r="AK988" s="105"/>
      <c r="AL988" s="105"/>
      <c r="AM988" s="105"/>
    </row>
    <row r="989" spans="1:39" ht="15">
      <c r="A989" s="62" t="s">
        <v>254</v>
      </c>
      <c r="B989" s="62" t="s">
        <v>249</v>
      </c>
      <c r="C989" s="63" t="s">
        <v>3611</v>
      </c>
      <c r="D989" s="64">
        <v>9.736842105263158</v>
      </c>
      <c r="E989" s="65" t="s">
        <v>136</v>
      </c>
      <c r="F989" s="66">
        <v>23.169811320754718</v>
      </c>
      <c r="G989" s="63"/>
      <c r="H989" s="67"/>
      <c r="I989" s="68"/>
      <c r="J989" s="68"/>
      <c r="K989" s="31" t="s">
        <v>65</v>
      </c>
      <c r="L989" s="76">
        <v>989</v>
      </c>
      <c r="M989" s="76"/>
      <c r="N989" s="70"/>
      <c r="O989" s="78" t="s">
        <v>305</v>
      </c>
      <c r="P989" s="78" t="s">
        <v>434</v>
      </c>
      <c r="Q989" s="78" t="s">
        <v>878</v>
      </c>
      <c r="R989" s="78" t="s">
        <v>870</v>
      </c>
      <c r="S989" s="78"/>
      <c r="T989" s="78"/>
      <c r="U989" s="78"/>
      <c r="V989" s="78"/>
      <c r="W989" s="81" t="s">
        <v>1674</v>
      </c>
      <c r="X989" s="81" t="s">
        <v>1674</v>
      </c>
      <c r="Y989" s="78"/>
      <c r="Z989" s="78"/>
      <c r="AA989" s="81" t="s">
        <v>1674</v>
      </c>
      <c r="AB989" s="79">
        <v>19</v>
      </c>
      <c r="AC989" s="80" t="str">
        <f>REPLACE(INDEX(GroupVertices[Group],MATCH("~"&amp;Edges[[#This Row],[Vertex 1]],GroupVertices[Vertex],0)),1,1,"")</f>
        <v>2</v>
      </c>
      <c r="AD989" s="80" t="str">
        <f>REPLACE(INDEX(GroupVertices[Group],MATCH("~"&amp;Edges[[#This Row],[Vertex 2]],GroupVertices[Vertex],0)),1,1,"")</f>
        <v>2</v>
      </c>
      <c r="AE989" s="105"/>
      <c r="AF989" s="105"/>
      <c r="AG989" s="105"/>
      <c r="AH989" s="105"/>
      <c r="AI989" s="105"/>
      <c r="AJ989" s="105"/>
      <c r="AK989" s="105"/>
      <c r="AL989" s="105"/>
      <c r="AM989" s="105"/>
    </row>
    <row r="990" spans="1:39" ht="15">
      <c r="A990" s="62" t="s">
        <v>254</v>
      </c>
      <c r="B990" s="62" t="s">
        <v>249</v>
      </c>
      <c r="C990" s="63" t="s">
        <v>3611</v>
      </c>
      <c r="D990" s="64">
        <v>9.736842105263158</v>
      </c>
      <c r="E990" s="65" t="s">
        <v>136</v>
      </c>
      <c r="F990" s="66">
        <v>23.169811320754718</v>
      </c>
      <c r="G990" s="63"/>
      <c r="H990" s="67"/>
      <c r="I990" s="68"/>
      <c r="J990" s="68"/>
      <c r="K990" s="31" t="s">
        <v>65</v>
      </c>
      <c r="L990" s="76">
        <v>990</v>
      </c>
      <c r="M990" s="76"/>
      <c r="N990" s="70"/>
      <c r="O990" s="78" t="s">
        <v>305</v>
      </c>
      <c r="P990" s="78" t="s">
        <v>434</v>
      </c>
      <c r="Q990" s="78" t="s">
        <v>878</v>
      </c>
      <c r="R990" s="78" t="s">
        <v>871</v>
      </c>
      <c r="S990" s="78"/>
      <c r="T990" s="78"/>
      <c r="U990" s="78"/>
      <c r="V990" s="78"/>
      <c r="W990" s="81" t="s">
        <v>1674</v>
      </c>
      <c r="X990" s="81" t="s">
        <v>1674</v>
      </c>
      <c r="Y990" s="78"/>
      <c r="Z990" s="78"/>
      <c r="AA990" s="81" t="s">
        <v>1674</v>
      </c>
      <c r="AB990" s="79">
        <v>19</v>
      </c>
      <c r="AC990" s="80" t="str">
        <f>REPLACE(INDEX(GroupVertices[Group],MATCH("~"&amp;Edges[[#This Row],[Vertex 1]],GroupVertices[Vertex],0)),1,1,"")</f>
        <v>2</v>
      </c>
      <c r="AD990" s="80" t="str">
        <f>REPLACE(INDEX(GroupVertices[Group],MATCH("~"&amp;Edges[[#This Row],[Vertex 2]],GroupVertices[Vertex],0)),1,1,"")</f>
        <v>2</v>
      </c>
      <c r="AE990" s="105"/>
      <c r="AF990" s="105"/>
      <c r="AG990" s="105"/>
      <c r="AH990" s="105"/>
      <c r="AI990" s="105"/>
      <c r="AJ990" s="105"/>
      <c r="AK990" s="105"/>
      <c r="AL990" s="105"/>
      <c r="AM990" s="105"/>
    </row>
    <row r="991" spans="1:39" ht="15">
      <c r="A991" s="62" t="s">
        <v>254</v>
      </c>
      <c r="B991" s="62" t="s">
        <v>249</v>
      </c>
      <c r="C991" s="63" t="s">
        <v>3611</v>
      </c>
      <c r="D991" s="64">
        <v>9.736842105263158</v>
      </c>
      <c r="E991" s="65" t="s">
        <v>136</v>
      </c>
      <c r="F991" s="66">
        <v>23.169811320754718</v>
      </c>
      <c r="G991" s="63"/>
      <c r="H991" s="67"/>
      <c r="I991" s="68"/>
      <c r="J991" s="68"/>
      <c r="K991" s="31" t="s">
        <v>65</v>
      </c>
      <c r="L991" s="76">
        <v>991</v>
      </c>
      <c r="M991" s="76"/>
      <c r="N991" s="70"/>
      <c r="O991" s="78" t="s">
        <v>305</v>
      </c>
      <c r="P991" s="78" t="s">
        <v>434</v>
      </c>
      <c r="Q991" s="78" t="s">
        <v>878</v>
      </c>
      <c r="R991" s="78" t="s">
        <v>872</v>
      </c>
      <c r="S991" s="78"/>
      <c r="T991" s="78"/>
      <c r="U991" s="78"/>
      <c r="V991" s="78"/>
      <c r="W991" s="81" t="s">
        <v>1674</v>
      </c>
      <c r="X991" s="81" t="s">
        <v>1674</v>
      </c>
      <c r="Y991" s="78"/>
      <c r="Z991" s="78"/>
      <c r="AA991" s="81" t="s">
        <v>1674</v>
      </c>
      <c r="AB991" s="79">
        <v>19</v>
      </c>
      <c r="AC991" s="80" t="str">
        <f>REPLACE(INDEX(GroupVertices[Group],MATCH("~"&amp;Edges[[#This Row],[Vertex 1]],GroupVertices[Vertex],0)),1,1,"")</f>
        <v>2</v>
      </c>
      <c r="AD991" s="80" t="str">
        <f>REPLACE(INDEX(GroupVertices[Group],MATCH("~"&amp;Edges[[#This Row],[Vertex 2]],GroupVertices[Vertex],0)),1,1,"")</f>
        <v>2</v>
      </c>
      <c r="AE991" s="105"/>
      <c r="AF991" s="105"/>
      <c r="AG991" s="105"/>
      <c r="AH991" s="105"/>
      <c r="AI991" s="105"/>
      <c r="AJ991" s="105"/>
      <c r="AK991" s="105"/>
      <c r="AL991" s="105"/>
      <c r="AM991" s="105"/>
    </row>
    <row r="992" spans="1:39" ht="15">
      <c r="A992" s="62" t="s">
        <v>254</v>
      </c>
      <c r="B992" s="62" t="s">
        <v>249</v>
      </c>
      <c r="C992" s="63" t="s">
        <v>3611</v>
      </c>
      <c r="D992" s="64">
        <v>9.736842105263158</v>
      </c>
      <c r="E992" s="65" t="s">
        <v>136</v>
      </c>
      <c r="F992" s="66">
        <v>23.169811320754718</v>
      </c>
      <c r="G992" s="63"/>
      <c r="H992" s="67"/>
      <c r="I992" s="68"/>
      <c r="J992" s="68"/>
      <c r="K992" s="31" t="s">
        <v>65</v>
      </c>
      <c r="L992" s="76">
        <v>992</v>
      </c>
      <c r="M992" s="76"/>
      <c r="N992" s="70"/>
      <c r="O992" s="78" t="s">
        <v>305</v>
      </c>
      <c r="P992" s="78" t="s">
        <v>434</v>
      </c>
      <c r="Q992" s="78" t="s">
        <v>878</v>
      </c>
      <c r="R992" s="78" t="s">
        <v>873</v>
      </c>
      <c r="S992" s="78"/>
      <c r="T992" s="78"/>
      <c r="U992" s="78"/>
      <c r="V992" s="78"/>
      <c r="W992" s="81" t="s">
        <v>1674</v>
      </c>
      <c r="X992" s="81" t="s">
        <v>1674</v>
      </c>
      <c r="Y992" s="78"/>
      <c r="Z992" s="78"/>
      <c r="AA992" s="81" t="s">
        <v>1674</v>
      </c>
      <c r="AB992" s="79">
        <v>19</v>
      </c>
      <c r="AC992" s="80" t="str">
        <f>REPLACE(INDEX(GroupVertices[Group],MATCH("~"&amp;Edges[[#This Row],[Vertex 1]],GroupVertices[Vertex],0)),1,1,"")</f>
        <v>2</v>
      </c>
      <c r="AD992" s="80" t="str">
        <f>REPLACE(INDEX(GroupVertices[Group],MATCH("~"&amp;Edges[[#This Row],[Vertex 2]],GroupVertices[Vertex],0)),1,1,"")</f>
        <v>2</v>
      </c>
      <c r="AE992" s="105"/>
      <c r="AF992" s="105"/>
      <c r="AG992" s="105"/>
      <c r="AH992" s="105"/>
      <c r="AI992" s="105"/>
      <c r="AJ992" s="105"/>
      <c r="AK992" s="105"/>
      <c r="AL992" s="105"/>
      <c r="AM992" s="105"/>
    </row>
    <row r="993" spans="1:39" ht="15">
      <c r="A993" s="62" t="s">
        <v>254</v>
      </c>
      <c r="B993" s="62" t="s">
        <v>249</v>
      </c>
      <c r="C993" s="63" t="s">
        <v>3611</v>
      </c>
      <c r="D993" s="64">
        <v>9.736842105263158</v>
      </c>
      <c r="E993" s="65" t="s">
        <v>136</v>
      </c>
      <c r="F993" s="66">
        <v>23.169811320754718</v>
      </c>
      <c r="G993" s="63"/>
      <c r="H993" s="67"/>
      <c r="I993" s="68"/>
      <c r="J993" s="68"/>
      <c r="K993" s="31" t="s">
        <v>65</v>
      </c>
      <c r="L993" s="76">
        <v>993</v>
      </c>
      <c r="M993" s="76"/>
      <c r="N993" s="70"/>
      <c r="O993" s="78" t="s">
        <v>305</v>
      </c>
      <c r="P993" s="78" t="s">
        <v>434</v>
      </c>
      <c r="Q993" s="78" t="s">
        <v>878</v>
      </c>
      <c r="R993" s="78" t="s">
        <v>874</v>
      </c>
      <c r="S993" s="78"/>
      <c r="T993" s="78"/>
      <c r="U993" s="78"/>
      <c r="V993" s="78"/>
      <c r="W993" s="81" t="s">
        <v>1674</v>
      </c>
      <c r="X993" s="81" t="s">
        <v>1674</v>
      </c>
      <c r="Y993" s="78"/>
      <c r="Z993" s="78"/>
      <c r="AA993" s="81" t="s">
        <v>1674</v>
      </c>
      <c r="AB993" s="79">
        <v>19</v>
      </c>
      <c r="AC993" s="80" t="str">
        <f>REPLACE(INDEX(GroupVertices[Group],MATCH("~"&amp;Edges[[#This Row],[Vertex 1]],GroupVertices[Vertex],0)),1,1,"")</f>
        <v>2</v>
      </c>
      <c r="AD993" s="80" t="str">
        <f>REPLACE(INDEX(GroupVertices[Group],MATCH("~"&amp;Edges[[#This Row],[Vertex 2]],GroupVertices[Vertex],0)),1,1,"")</f>
        <v>2</v>
      </c>
      <c r="AE993" s="105"/>
      <c r="AF993" s="105"/>
      <c r="AG993" s="105"/>
      <c r="AH993" s="105"/>
      <c r="AI993" s="105"/>
      <c r="AJ993" s="105"/>
      <c r="AK993" s="105"/>
      <c r="AL993" s="105"/>
      <c r="AM993" s="105"/>
    </row>
    <row r="994" spans="1:39" ht="15">
      <c r="A994" s="62" t="s">
        <v>254</v>
      </c>
      <c r="B994" s="62" t="s">
        <v>249</v>
      </c>
      <c r="C994" s="63" t="s">
        <v>3611</v>
      </c>
      <c r="D994" s="64">
        <v>9.736842105263158</v>
      </c>
      <c r="E994" s="65" t="s">
        <v>136</v>
      </c>
      <c r="F994" s="66">
        <v>23.169811320754718</v>
      </c>
      <c r="G994" s="63"/>
      <c r="H994" s="67"/>
      <c r="I994" s="68"/>
      <c r="J994" s="68"/>
      <c r="K994" s="31" t="s">
        <v>65</v>
      </c>
      <c r="L994" s="76">
        <v>994</v>
      </c>
      <c r="M994" s="76"/>
      <c r="N994" s="70"/>
      <c r="O994" s="78" t="s">
        <v>305</v>
      </c>
      <c r="P994" s="78" t="s">
        <v>434</v>
      </c>
      <c r="Q994" s="78" t="s">
        <v>878</v>
      </c>
      <c r="R994" s="78" t="s">
        <v>875</v>
      </c>
      <c r="S994" s="78"/>
      <c r="T994" s="78"/>
      <c r="U994" s="78"/>
      <c r="V994" s="78"/>
      <c r="W994" s="81" t="s">
        <v>1674</v>
      </c>
      <c r="X994" s="81" t="s">
        <v>1674</v>
      </c>
      <c r="Y994" s="78"/>
      <c r="Z994" s="78"/>
      <c r="AA994" s="81" t="s">
        <v>1674</v>
      </c>
      <c r="AB994" s="79">
        <v>19</v>
      </c>
      <c r="AC994" s="80" t="str">
        <f>REPLACE(INDEX(GroupVertices[Group],MATCH("~"&amp;Edges[[#This Row],[Vertex 1]],GroupVertices[Vertex],0)),1,1,"")</f>
        <v>2</v>
      </c>
      <c r="AD994" s="80" t="str">
        <f>REPLACE(INDEX(GroupVertices[Group],MATCH("~"&amp;Edges[[#This Row],[Vertex 2]],GroupVertices[Vertex],0)),1,1,"")</f>
        <v>2</v>
      </c>
      <c r="AE994" s="105"/>
      <c r="AF994" s="105"/>
      <c r="AG994" s="105"/>
      <c r="AH994" s="105"/>
      <c r="AI994" s="105"/>
      <c r="AJ994" s="105"/>
      <c r="AK994" s="105"/>
      <c r="AL994" s="105"/>
      <c r="AM994" s="105"/>
    </row>
    <row r="995" spans="1:39" ht="15">
      <c r="A995" s="62" t="s">
        <v>254</v>
      </c>
      <c r="B995" s="62" t="s">
        <v>249</v>
      </c>
      <c r="C995" s="63" t="s">
        <v>3611</v>
      </c>
      <c r="D995" s="64">
        <v>9.736842105263158</v>
      </c>
      <c r="E995" s="65" t="s">
        <v>136</v>
      </c>
      <c r="F995" s="66">
        <v>23.169811320754718</v>
      </c>
      <c r="G995" s="63"/>
      <c r="H995" s="67"/>
      <c r="I995" s="68"/>
      <c r="J995" s="68"/>
      <c r="K995" s="31" t="s">
        <v>65</v>
      </c>
      <c r="L995" s="76">
        <v>995</v>
      </c>
      <c r="M995" s="76"/>
      <c r="N995" s="70"/>
      <c r="O995" s="78" t="s">
        <v>305</v>
      </c>
      <c r="P995" s="78" t="s">
        <v>434</v>
      </c>
      <c r="Q995" s="78" t="s">
        <v>878</v>
      </c>
      <c r="R995" s="78" t="s">
        <v>876</v>
      </c>
      <c r="S995" s="78"/>
      <c r="T995" s="78"/>
      <c r="U995" s="78"/>
      <c r="V995" s="78"/>
      <c r="W995" s="81" t="s">
        <v>1674</v>
      </c>
      <c r="X995" s="81" t="s">
        <v>1674</v>
      </c>
      <c r="Y995" s="78"/>
      <c r="Z995" s="78"/>
      <c r="AA995" s="81" t="s">
        <v>1674</v>
      </c>
      <c r="AB995" s="79">
        <v>19</v>
      </c>
      <c r="AC995" s="80" t="str">
        <f>REPLACE(INDEX(GroupVertices[Group],MATCH("~"&amp;Edges[[#This Row],[Vertex 1]],GroupVertices[Vertex],0)),1,1,"")</f>
        <v>2</v>
      </c>
      <c r="AD995" s="80" t="str">
        <f>REPLACE(INDEX(GroupVertices[Group],MATCH("~"&amp;Edges[[#This Row],[Vertex 2]],GroupVertices[Vertex],0)),1,1,"")</f>
        <v>2</v>
      </c>
      <c r="AE995" s="105"/>
      <c r="AF995" s="105"/>
      <c r="AG995" s="105"/>
      <c r="AH995" s="105"/>
      <c r="AI995" s="105"/>
      <c r="AJ995" s="105"/>
      <c r="AK995" s="105"/>
      <c r="AL995" s="105"/>
      <c r="AM995" s="105"/>
    </row>
    <row r="996" spans="1:39" ht="15">
      <c r="A996" s="62" t="s">
        <v>254</v>
      </c>
      <c r="B996" s="62" t="s">
        <v>249</v>
      </c>
      <c r="C996" s="63" t="s">
        <v>3611</v>
      </c>
      <c r="D996" s="64">
        <v>9.736842105263158</v>
      </c>
      <c r="E996" s="65" t="s">
        <v>136</v>
      </c>
      <c r="F996" s="66">
        <v>23.169811320754718</v>
      </c>
      <c r="G996" s="63"/>
      <c r="H996" s="67"/>
      <c r="I996" s="68"/>
      <c r="J996" s="68"/>
      <c r="K996" s="31" t="s">
        <v>65</v>
      </c>
      <c r="L996" s="76">
        <v>996</v>
      </c>
      <c r="M996" s="76"/>
      <c r="N996" s="70"/>
      <c r="O996" s="78" t="s">
        <v>305</v>
      </c>
      <c r="P996" s="78" t="s">
        <v>591</v>
      </c>
      <c r="Q996" s="78" t="s">
        <v>1157</v>
      </c>
      <c r="R996" s="78" t="s">
        <v>1578</v>
      </c>
      <c r="S996" s="78"/>
      <c r="T996" s="78"/>
      <c r="U996" s="78"/>
      <c r="V996" s="78"/>
      <c r="W996" s="81" t="s">
        <v>1674</v>
      </c>
      <c r="X996" s="81" t="s">
        <v>1674</v>
      </c>
      <c r="Y996" s="78"/>
      <c r="Z996" s="78"/>
      <c r="AA996" s="81" t="s">
        <v>1674</v>
      </c>
      <c r="AB996" s="79">
        <v>19</v>
      </c>
      <c r="AC996" s="80" t="str">
        <f>REPLACE(INDEX(GroupVertices[Group],MATCH("~"&amp;Edges[[#This Row],[Vertex 1]],GroupVertices[Vertex],0)),1,1,"")</f>
        <v>2</v>
      </c>
      <c r="AD996" s="80" t="str">
        <f>REPLACE(INDEX(GroupVertices[Group],MATCH("~"&amp;Edges[[#This Row],[Vertex 2]],GroupVertices[Vertex],0)),1,1,"")</f>
        <v>2</v>
      </c>
      <c r="AE996" s="105"/>
      <c r="AF996" s="105"/>
      <c r="AG996" s="105"/>
      <c r="AH996" s="105"/>
      <c r="AI996" s="105"/>
      <c r="AJ996" s="105"/>
      <c r="AK996" s="105"/>
      <c r="AL996" s="105"/>
      <c r="AM996" s="105"/>
    </row>
    <row r="997" spans="1:39" ht="15">
      <c r="A997" s="62" t="s">
        <v>254</v>
      </c>
      <c r="B997" s="62" t="s">
        <v>249</v>
      </c>
      <c r="C997" s="63" t="s">
        <v>3611</v>
      </c>
      <c r="D997" s="64">
        <v>9.736842105263158</v>
      </c>
      <c r="E997" s="65" t="s">
        <v>136</v>
      </c>
      <c r="F997" s="66">
        <v>23.169811320754718</v>
      </c>
      <c r="G997" s="63"/>
      <c r="H997" s="67"/>
      <c r="I997" s="68"/>
      <c r="J997" s="68"/>
      <c r="K997" s="31" t="s">
        <v>65</v>
      </c>
      <c r="L997" s="76">
        <v>997</v>
      </c>
      <c r="M997" s="76"/>
      <c r="N997" s="70"/>
      <c r="O997" s="78" t="s">
        <v>305</v>
      </c>
      <c r="P997" s="78" t="s">
        <v>591</v>
      </c>
      <c r="Q997" s="78" t="s">
        <v>1157</v>
      </c>
      <c r="R997" s="78" t="s">
        <v>1579</v>
      </c>
      <c r="S997" s="78"/>
      <c r="T997" s="78"/>
      <c r="U997" s="78"/>
      <c r="V997" s="78"/>
      <c r="W997" s="81" t="s">
        <v>1674</v>
      </c>
      <c r="X997" s="81" t="s">
        <v>1674</v>
      </c>
      <c r="Y997" s="78"/>
      <c r="Z997" s="78"/>
      <c r="AA997" s="81" t="s">
        <v>1674</v>
      </c>
      <c r="AB997" s="79">
        <v>19</v>
      </c>
      <c r="AC997" s="80" t="str">
        <f>REPLACE(INDEX(GroupVertices[Group],MATCH("~"&amp;Edges[[#This Row],[Vertex 1]],GroupVertices[Vertex],0)),1,1,"")</f>
        <v>2</v>
      </c>
      <c r="AD997" s="80" t="str">
        <f>REPLACE(INDEX(GroupVertices[Group],MATCH("~"&amp;Edges[[#This Row],[Vertex 2]],GroupVertices[Vertex],0)),1,1,"")</f>
        <v>2</v>
      </c>
      <c r="AE997" s="105"/>
      <c r="AF997" s="105"/>
      <c r="AG997" s="105"/>
      <c r="AH997" s="105"/>
      <c r="AI997" s="105"/>
      <c r="AJ997" s="105"/>
      <c r="AK997" s="105"/>
      <c r="AL997" s="105"/>
      <c r="AM997" s="105"/>
    </row>
    <row r="998" spans="1:39" ht="15">
      <c r="A998" s="62" t="s">
        <v>254</v>
      </c>
      <c r="B998" s="62" t="s">
        <v>249</v>
      </c>
      <c r="C998" s="63" t="s">
        <v>3611</v>
      </c>
      <c r="D998" s="64">
        <v>9.736842105263158</v>
      </c>
      <c r="E998" s="65" t="s">
        <v>136</v>
      </c>
      <c r="F998" s="66">
        <v>23.169811320754718</v>
      </c>
      <c r="G998" s="63"/>
      <c r="H998" s="67"/>
      <c r="I998" s="68"/>
      <c r="J998" s="68"/>
      <c r="K998" s="31" t="s">
        <v>65</v>
      </c>
      <c r="L998" s="76">
        <v>998</v>
      </c>
      <c r="M998" s="76"/>
      <c r="N998" s="70"/>
      <c r="O998" s="78" t="s">
        <v>305</v>
      </c>
      <c r="P998" s="78" t="s">
        <v>591</v>
      </c>
      <c r="Q998" s="78" t="s">
        <v>1157</v>
      </c>
      <c r="R998" s="78" t="s">
        <v>1580</v>
      </c>
      <c r="S998" s="78"/>
      <c r="T998" s="78"/>
      <c r="U998" s="78"/>
      <c r="V998" s="78"/>
      <c r="W998" s="81" t="s">
        <v>1674</v>
      </c>
      <c r="X998" s="81" t="s">
        <v>1674</v>
      </c>
      <c r="Y998" s="78"/>
      <c r="Z998" s="78"/>
      <c r="AA998" s="81" t="s">
        <v>1674</v>
      </c>
      <c r="AB998" s="79">
        <v>19</v>
      </c>
      <c r="AC998" s="80" t="str">
        <f>REPLACE(INDEX(GroupVertices[Group],MATCH("~"&amp;Edges[[#This Row],[Vertex 1]],GroupVertices[Vertex],0)),1,1,"")</f>
        <v>2</v>
      </c>
      <c r="AD998" s="80" t="str">
        <f>REPLACE(INDEX(GroupVertices[Group],MATCH("~"&amp;Edges[[#This Row],[Vertex 2]],GroupVertices[Vertex],0)),1,1,"")</f>
        <v>2</v>
      </c>
      <c r="AE998" s="105"/>
      <c r="AF998" s="105"/>
      <c r="AG998" s="105"/>
      <c r="AH998" s="105"/>
      <c r="AI998" s="105"/>
      <c r="AJ998" s="105"/>
      <c r="AK998" s="105"/>
      <c r="AL998" s="105"/>
      <c r="AM998" s="105"/>
    </row>
    <row r="999" spans="1:39" ht="15">
      <c r="A999" s="62" t="s">
        <v>254</v>
      </c>
      <c r="B999" s="62" t="s">
        <v>249</v>
      </c>
      <c r="C999" s="63" t="s">
        <v>3611</v>
      </c>
      <c r="D999" s="64">
        <v>9.736842105263158</v>
      </c>
      <c r="E999" s="65" t="s">
        <v>136</v>
      </c>
      <c r="F999" s="66">
        <v>23.169811320754718</v>
      </c>
      <c r="G999" s="63"/>
      <c r="H999" s="67"/>
      <c r="I999" s="68"/>
      <c r="J999" s="68"/>
      <c r="K999" s="31" t="s">
        <v>65</v>
      </c>
      <c r="L999" s="76">
        <v>999</v>
      </c>
      <c r="M999" s="76"/>
      <c r="N999" s="70"/>
      <c r="O999" s="78" t="s">
        <v>305</v>
      </c>
      <c r="P999" s="78" t="s">
        <v>592</v>
      </c>
      <c r="Q999" s="78" t="s">
        <v>1158</v>
      </c>
      <c r="R999" s="78" t="s">
        <v>1581</v>
      </c>
      <c r="S999" s="78"/>
      <c r="T999" s="78"/>
      <c r="U999" s="78"/>
      <c r="V999" s="78"/>
      <c r="W999" s="81" t="s">
        <v>1674</v>
      </c>
      <c r="X999" s="81" t="s">
        <v>1674</v>
      </c>
      <c r="Y999" s="78"/>
      <c r="Z999" s="78"/>
      <c r="AA999" s="81" t="s">
        <v>1674</v>
      </c>
      <c r="AB999" s="79">
        <v>19</v>
      </c>
      <c r="AC999" s="80" t="str">
        <f>REPLACE(INDEX(GroupVertices[Group],MATCH("~"&amp;Edges[[#This Row],[Vertex 1]],GroupVertices[Vertex],0)),1,1,"")</f>
        <v>2</v>
      </c>
      <c r="AD999" s="80" t="str">
        <f>REPLACE(INDEX(GroupVertices[Group],MATCH("~"&amp;Edges[[#This Row],[Vertex 2]],GroupVertices[Vertex],0)),1,1,"")</f>
        <v>2</v>
      </c>
      <c r="AE999" s="105"/>
      <c r="AF999" s="105"/>
      <c r="AG999" s="105"/>
      <c r="AH999" s="105"/>
      <c r="AI999" s="105"/>
      <c r="AJ999" s="105"/>
      <c r="AK999" s="105"/>
      <c r="AL999" s="105"/>
      <c r="AM999" s="105"/>
    </row>
    <row r="1000" spans="1:39" ht="15">
      <c r="A1000" s="62" t="s">
        <v>254</v>
      </c>
      <c r="B1000" s="62" t="s">
        <v>249</v>
      </c>
      <c r="C1000" s="63" t="s">
        <v>3611</v>
      </c>
      <c r="D1000" s="64">
        <v>9.736842105263158</v>
      </c>
      <c r="E1000" s="65" t="s">
        <v>136</v>
      </c>
      <c r="F1000" s="66">
        <v>23.169811320754718</v>
      </c>
      <c r="G1000" s="63"/>
      <c r="H1000" s="67"/>
      <c r="I1000" s="68"/>
      <c r="J1000" s="68"/>
      <c r="K1000" s="31" t="s">
        <v>65</v>
      </c>
      <c r="L1000" s="76">
        <v>1000</v>
      </c>
      <c r="M1000" s="76"/>
      <c r="N1000" s="70"/>
      <c r="O1000" s="78" t="s">
        <v>305</v>
      </c>
      <c r="P1000" s="78" t="s">
        <v>536</v>
      </c>
      <c r="Q1000" s="78" t="s">
        <v>1055</v>
      </c>
      <c r="R1000" s="78" t="s">
        <v>1518</v>
      </c>
      <c r="S1000" s="78"/>
      <c r="T1000" s="78"/>
      <c r="U1000" s="78"/>
      <c r="V1000" s="78"/>
      <c r="W1000" s="81" t="s">
        <v>1674</v>
      </c>
      <c r="X1000" s="81" t="s">
        <v>1674</v>
      </c>
      <c r="Y1000" s="78"/>
      <c r="Z1000" s="78"/>
      <c r="AA1000" s="81" t="s">
        <v>1674</v>
      </c>
      <c r="AB1000" s="79">
        <v>19</v>
      </c>
      <c r="AC1000" s="80" t="str">
        <f>REPLACE(INDEX(GroupVertices[Group],MATCH("~"&amp;Edges[[#This Row],[Vertex 1]],GroupVertices[Vertex],0)),1,1,"")</f>
        <v>2</v>
      </c>
      <c r="AD1000" s="80" t="str">
        <f>REPLACE(INDEX(GroupVertices[Group],MATCH("~"&amp;Edges[[#This Row],[Vertex 2]],GroupVertices[Vertex],0)),1,1,"")</f>
        <v>2</v>
      </c>
      <c r="AE1000" s="105"/>
      <c r="AF1000" s="105"/>
      <c r="AG1000" s="105"/>
      <c r="AH1000" s="105"/>
      <c r="AI1000" s="105"/>
      <c r="AJ1000" s="105"/>
      <c r="AK1000" s="105"/>
      <c r="AL1000" s="105"/>
      <c r="AM1000" s="105"/>
    </row>
    <row r="1001" spans="1:39" ht="15">
      <c r="A1001" s="62" t="s">
        <v>254</v>
      </c>
      <c r="B1001" s="62" t="s">
        <v>249</v>
      </c>
      <c r="C1001" s="63" t="s">
        <v>3611</v>
      </c>
      <c r="D1001" s="64">
        <v>9.736842105263158</v>
      </c>
      <c r="E1001" s="65" t="s">
        <v>136</v>
      </c>
      <c r="F1001" s="66">
        <v>23.169811320754718</v>
      </c>
      <c r="G1001" s="63"/>
      <c r="H1001" s="67"/>
      <c r="I1001" s="68"/>
      <c r="J1001" s="68"/>
      <c r="K1001" s="31" t="s">
        <v>65</v>
      </c>
      <c r="L1001" s="76">
        <v>1001</v>
      </c>
      <c r="M1001" s="76"/>
      <c r="N1001" s="70"/>
      <c r="O1001" s="78" t="s">
        <v>305</v>
      </c>
      <c r="P1001" s="78" t="s">
        <v>593</v>
      </c>
      <c r="Q1001" s="78" t="s">
        <v>1159</v>
      </c>
      <c r="R1001" s="78" t="s">
        <v>1582</v>
      </c>
      <c r="S1001" s="78"/>
      <c r="T1001" s="78" t="s">
        <v>1665</v>
      </c>
      <c r="U1001" s="78"/>
      <c r="V1001" s="78" t="s">
        <v>1670</v>
      </c>
      <c r="W1001" s="81" t="s">
        <v>1674</v>
      </c>
      <c r="X1001" s="81" t="s">
        <v>1674</v>
      </c>
      <c r="Y1001" s="78" t="s">
        <v>1699</v>
      </c>
      <c r="Z1001" s="78" t="s">
        <v>1710</v>
      </c>
      <c r="AA1001" s="81" t="s">
        <v>1674</v>
      </c>
      <c r="AB1001" s="79">
        <v>19</v>
      </c>
      <c r="AC1001" s="80" t="str">
        <f>REPLACE(INDEX(GroupVertices[Group],MATCH("~"&amp;Edges[[#This Row],[Vertex 1]],GroupVertices[Vertex],0)),1,1,"")</f>
        <v>2</v>
      </c>
      <c r="AD1001" s="80" t="str">
        <f>REPLACE(INDEX(GroupVertices[Group],MATCH("~"&amp;Edges[[#This Row],[Vertex 2]],GroupVertices[Vertex],0)),1,1,"")</f>
        <v>2</v>
      </c>
      <c r="AE1001" s="105"/>
      <c r="AF1001" s="105"/>
      <c r="AG1001" s="105"/>
      <c r="AH1001" s="105"/>
      <c r="AI1001" s="105"/>
      <c r="AJ1001" s="105"/>
      <c r="AK1001" s="105"/>
      <c r="AL1001" s="105"/>
      <c r="AM1001" s="105"/>
    </row>
    <row r="1002" spans="1:39" ht="15">
      <c r="A1002" s="62" t="s">
        <v>254</v>
      </c>
      <c r="B1002" s="62" t="s">
        <v>223</v>
      </c>
      <c r="C1002" s="63" t="s">
        <v>3599</v>
      </c>
      <c r="D1002" s="64">
        <v>6.315789473684211</v>
      </c>
      <c r="E1002" s="65" t="s">
        <v>136</v>
      </c>
      <c r="F1002" s="66">
        <v>29.547169811320757</v>
      </c>
      <c r="G1002" s="63"/>
      <c r="H1002" s="67"/>
      <c r="I1002" s="68"/>
      <c r="J1002" s="68"/>
      <c r="K1002" s="31" t="s">
        <v>65</v>
      </c>
      <c r="L1002" s="76">
        <v>1002</v>
      </c>
      <c r="M1002" s="76"/>
      <c r="N1002" s="70"/>
      <c r="O1002" s="78" t="s">
        <v>305</v>
      </c>
      <c r="P1002" s="78" t="s">
        <v>370</v>
      </c>
      <c r="Q1002" s="78" t="s">
        <v>930</v>
      </c>
      <c r="R1002" s="78" t="s">
        <v>927</v>
      </c>
      <c r="S1002" s="78"/>
      <c r="T1002" s="78"/>
      <c r="U1002" s="78"/>
      <c r="V1002" s="78"/>
      <c r="W1002" s="81" t="s">
        <v>1674</v>
      </c>
      <c r="X1002" s="81" t="s">
        <v>1674</v>
      </c>
      <c r="Y1002" s="78"/>
      <c r="Z1002" s="78"/>
      <c r="AA1002" s="81" t="s">
        <v>1674</v>
      </c>
      <c r="AB1002" s="79">
        <v>6</v>
      </c>
      <c r="AC1002" s="80" t="str">
        <f>REPLACE(INDEX(GroupVertices[Group],MATCH("~"&amp;Edges[[#This Row],[Vertex 1]],GroupVertices[Vertex],0)),1,1,"")</f>
        <v>2</v>
      </c>
      <c r="AD1002" s="80" t="str">
        <f>REPLACE(INDEX(GroupVertices[Group],MATCH("~"&amp;Edges[[#This Row],[Vertex 2]],GroupVertices[Vertex],0)),1,1,"")</f>
        <v>5</v>
      </c>
      <c r="AE1002" s="105"/>
      <c r="AF1002" s="105"/>
      <c r="AG1002" s="105"/>
      <c r="AH1002" s="105"/>
      <c r="AI1002" s="105"/>
      <c r="AJ1002" s="105"/>
      <c r="AK1002" s="105"/>
      <c r="AL1002" s="105"/>
      <c r="AM1002" s="105"/>
    </row>
    <row r="1003" spans="1:39" ht="15">
      <c r="A1003" s="62" t="s">
        <v>254</v>
      </c>
      <c r="B1003" s="62" t="s">
        <v>223</v>
      </c>
      <c r="C1003" s="63" t="s">
        <v>3599</v>
      </c>
      <c r="D1003" s="64">
        <v>6.315789473684211</v>
      </c>
      <c r="E1003" s="65" t="s">
        <v>136</v>
      </c>
      <c r="F1003" s="66">
        <v>29.547169811320757</v>
      </c>
      <c r="G1003" s="63"/>
      <c r="H1003" s="67"/>
      <c r="I1003" s="68"/>
      <c r="J1003" s="68"/>
      <c r="K1003" s="31" t="s">
        <v>65</v>
      </c>
      <c r="L1003" s="76">
        <v>1003</v>
      </c>
      <c r="M1003" s="76"/>
      <c r="N1003" s="70"/>
      <c r="O1003" s="78" t="s">
        <v>305</v>
      </c>
      <c r="P1003" s="78" t="s">
        <v>370</v>
      </c>
      <c r="Q1003" s="78" t="s">
        <v>930</v>
      </c>
      <c r="R1003" s="78" t="s">
        <v>928</v>
      </c>
      <c r="S1003" s="78"/>
      <c r="T1003" s="78"/>
      <c r="U1003" s="78"/>
      <c r="V1003" s="78"/>
      <c r="W1003" s="81" t="s">
        <v>1674</v>
      </c>
      <c r="X1003" s="81" t="s">
        <v>1674</v>
      </c>
      <c r="Y1003" s="78"/>
      <c r="Z1003" s="78"/>
      <c r="AA1003" s="81" t="s">
        <v>1674</v>
      </c>
      <c r="AB1003" s="79">
        <v>6</v>
      </c>
      <c r="AC1003" s="80" t="str">
        <f>REPLACE(INDEX(GroupVertices[Group],MATCH("~"&amp;Edges[[#This Row],[Vertex 1]],GroupVertices[Vertex],0)),1,1,"")</f>
        <v>2</v>
      </c>
      <c r="AD1003" s="80" t="str">
        <f>REPLACE(INDEX(GroupVertices[Group],MATCH("~"&amp;Edges[[#This Row],[Vertex 2]],GroupVertices[Vertex],0)),1,1,"")</f>
        <v>5</v>
      </c>
      <c r="AE1003" s="105"/>
      <c r="AF1003" s="105"/>
      <c r="AG1003" s="105"/>
      <c r="AH1003" s="105"/>
      <c r="AI1003" s="105"/>
      <c r="AJ1003" s="105"/>
      <c r="AK1003" s="105"/>
      <c r="AL1003" s="105"/>
      <c r="AM1003" s="105"/>
    </row>
    <row r="1004" spans="1:39" ht="15">
      <c r="A1004" s="62" t="s">
        <v>254</v>
      </c>
      <c r="B1004" s="62" t="s">
        <v>223</v>
      </c>
      <c r="C1004" s="63" t="s">
        <v>3599</v>
      </c>
      <c r="D1004" s="64">
        <v>6.315789473684211</v>
      </c>
      <c r="E1004" s="65" t="s">
        <v>136</v>
      </c>
      <c r="F1004" s="66">
        <v>29.547169811320757</v>
      </c>
      <c r="G1004" s="63"/>
      <c r="H1004" s="67"/>
      <c r="I1004" s="68"/>
      <c r="J1004" s="68"/>
      <c r="K1004" s="31" t="s">
        <v>65</v>
      </c>
      <c r="L1004" s="76">
        <v>1004</v>
      </c>
      <c r="M1004" s="76"/>
      <c r="N1004" s="70"/>
      <c r="O1004" s="78" t="s">
        <v>305</v>
      </c>
      <c r="P1004" s="78" t="s">
        <v>370</v>
      </c>
      <c r="Q1004" s="78" t="s">
        <v>933</v>
      </c>
      <c r="R1004" s="78" t="s">
        <v>927</v>
      </c>
      <c r="S1004" s="78"/>
      <c r="T1004" s="78"/>
      <c r="U1004" s="78"/>
      <c r="V1004" s="78"/>
      <c r="W1004" s="81" t="s">
        <v>1674</v>
      </c>
      <c r="X1004" s="81" t="s">
        <v>1674</v>
      </c>
      <c r="Y1004" s="78"/>
      <c r="Z1004" s="78"/>
      <c r="AA1004" s="81" t="s">
        <v>1674</v>
      </c>
      <c r="AB1004" s="79">
        <v>6</v>
      </c>
      <c r="AC1004" s="80" t="str">
        <f>REPLACE(INDEX(GroupVertices[Group],MATCH("~"&amp;Edges[[#This Row],[Vertex 1]],GroupVertices[Vertex],0)),1,1,"")</f>
        <v>2</v>
      </c>
      <c r="AD1004" s="80" t="str">
        <f>REPLACE(INDEX(GroupVertices[Group],MATCH("~"&amp;Edges[[#This Row],[Vertex 2]],GroupVertices[Vertex],0)),1,1,"")</f>
        <v>5</v>
      </c>
      <c r="AE1004" s="105"/>
      <c r="AF1004" s="105"/>
      <c r="AG1004" s="105"/>
      <c r="AH1004" s="105"/>
      <c r="AI1004" s="105"/>
      <c r="AJ1004" s="105"/>
      <c r="AK1004" s="105"/>
      <c r="AL1004" s="105"/>
      <c r="AM1004" s="105"/>
    </row>
    <row r="1005" spans="1:39" ht="15">
      <c r="A1005" s="62" t="s">
        <v>254</v>
      </c>
      <c r="B1005" s="62" t="s">
        <v>223</v>
      </c>
      <c r="C1005" s="63" t="s">
        <v>3599</v>
      </c>
      <c r="D1005" s="64">
        <v>6.315789473684211</v>
      </c>
      <c r="E1005" s="65" t="s">
        <v>136</v>
      </c>
      <c r="F1005" s="66">
        <v>29.547169811320757</v>
      </c>
      <c r="G1005" s="63"/>
      <c r="H1005" s="67"/>
      <c r="I1005" s="68"/>
      <c r="J1005" s="68"/>
      <c r="K1005" s="31" t="s">
        <v>65</v>
      </c>
      <c r="L1005" s="76">
        <v>1005</v>
      </c>
      <c r="M1005" s="76"/>
      <c r="N1005" s="70"/>
      <c r="O1005" s="78" t="s">
        <v>305</v>
      </c>
      <c r="P1005" s="78" t="s">
        <v>370</v>
      </c>
      <c r="Q1005" s="78" t="s">
        <v>933</v>
      </c>
      <c r="R1005" s="78" t="s">
        <v>928</v>
      </c>
      <c r="S1005" s="78"/>
      <c r="T1005" s="78"/>
      <c r="U1005" s="78"/>
      <c r="V1005" s="78"/>
      <c r="W1005" s="81" t="s">
        <v>1674</v>
      </c>
      <c r="X1005" s="81" t="s">
        <v>1674</v>
      </c>
      <c r="Y1005" s="78"/>
      <c r="Z1005" s="78"/>
      <c r="AA1005" s="81" t="s">
        <v>1674</v>
      </c>
      <c r="AB1005" s="79">
        <v>6</v>
      </c>
      <c r="AC1005" s="80" t="str">
        <f>REPLACE(INDEX(GroupVertices[Group],MATCH("~"&amp;Edges[[#This Row],[Vertex 1]],GroupVertices[Vertex],0)),1,1,"")</f>
        <v>2</v>
      </c>
      <c r="AD1005" s="80" t="str">
        <f>REPLACE(INDEX(GroupVertices[Group],MATCH("~"&amp;Edges[[#This Row],[Vertex 2]],GroupVertices[Vertex],0)),1,1,"")</f>
        <v>5</v>
      </c>
      <c r="AE1005" s="105"/>
      <c r="AF1005" s="105"/>
      <c r="AG1005" s="105"/>
      <c r="AH1005" s="105"/>
      <c r="AI1005" s="105"/>
      <c r="AJ1005" s="105"/>
      <c r="AK1005" s="105"/>
      <c r="AL1005" s="105"/>
      <c r="AM1005" s="105"/>
    </row>
    <row r="1006" spans="1:39" ht="15">
      <c r="A1006" s="62" t="s">
        <v>254</v>
      </c>
      <c r="B1006" s="62" t="s">
        <v>223</v>
      </c>
      <c r="C1006" s="63" t="s">
        <v>3599</v>
      </c>
      <c r="D1006" s="64">
        <v>6.315789473684211</v>
      </c>
      <c r="E1006" s="65" t="s">
        <v>136</v>
      </c>
      <c r="F1006" s="66">
        <v>29.547169811320757</v>
      </c>
      <c r="G1006" s="63"/>
      <c r="H1006" s="67"/>
      <c r="I1006" s="68"/>
      <c r="J1006" s="68"/>
      <c r="K1006" s="31" t="s">
        <v>65</v>
      </c>
      <c r="L1006" s="76">
        <v>1006</v>
      </c>
      <c r="M1006" s="76"/>
      <c r="N1006" s="70"/>
      <c r="O1006" s="78" t="s">
        <v>305</v>
      </c>
      <c r="P1006" s="78" t="s">
        <v>370</v>
      </c>
      <c r="Q1006" s="78" t="s">
        <v>934</v>
      </c>
      <c r="R1006" s="78" t="s">
        <v>927</v>
      </c>
      <c r="S1006" s="78"/>
      <c r="T1006" s="78"/>
      <c r="U1006" s="78"/>
      <c r="V1006" s="78"/>
      <c r="W1006" s="81" t="s">
        <v>1674</v>
      </c>
      <c r="X1006" s="81" t="s">
        <v>1674</v>
      </c>
      <c r="Y1006" s="78"/>
      <c r="Z1006" s="78"/>
      <c r="AA1006" s="81" t="s">
        <v>1674</v>
      </c>
      <c r="AB1006" s="79">
        <v>6</v>
      </c>
      <c r="AC1006" s="80" t="str">
        <f>REPLACE(INDEX(GroupVertices[Group],MATCH("~"&amp;Edges[[#This Row],[Vertex 1]],GroupVertices[Vertex],0)),1,1,"")</f>
        <v>2</v>
      </c>
      <c r="AD1006" s="80" t="str">
        <f>REPLACE(INDEX(GroupVertices[Group],MATCH("~"&amp;Edges[[#This Row],[Vertex 2]],GroupVertices[Vertex],0)),1,1,"")</f>
        <v>5</v>
      </c>
      <c r="AE1006" s="105"/>
      <c r="AF1006" s="105"/>
      <c r="AG1006" s="105"/>
      <c r="AH1006" s="105"/>
      <c r="AI1006" s="105"/>
      <c r="AJ1006" s="105"/>
      <c r="AK1006" s="105"/>
      <c r="AL1006" s="105"/>
      <c r="AM1006" s="105"/>
    </row>
    <row r="1007" spans="1:39" ht="15">
      <c r="A1007" s="62" t="s">
        <v>254</v>
      </c>
      <c r="B1007" s="62" t="s">
        <v>223</v>
      </c>
      <c r="C1007" s="63" t="s">
        <v>3599</v>
      </c>
      <c r="D1007" s="64">
        <v>6.315789473684211</v>
      </c>
      <c r="E1007" s="65" t="s">
        <v>136</v>
      </c>
      <c r="F1007" s="66">
        <v>29.547169811320757</v>
      </c>
      <c r="G1007" s="63"/>
      <c r="H1007" s="67"/>
      <c r="I1007" s="68"/>
      <c r="J1007" s="68"/>
      <c r="K1007" s="31" t="s">
        <v>65</v>
      </c>
      <c r="L1007" s="76">
        <v>1007</v>
      </c>
      <c r="M1007" s="76"/>
      <c r="N1007" s="70"/>
      <c r="O1007" s="78" t="s">
        <v>305</v>
      </c>
      <c r="P1007" s="78" t="s">
        <v>370</v>
      </c>
      <c r="Q1007" s="78" t="s">
        <v>934</v>
      </c>
      <c r="R1007" s="78" t="s">
        <v>928</v>
      </c>
      <c r="S1007" s="78"/>
      <c r="T1007" s="78"/>
      <c r="U1007" s="78"/>
      <c r="V1007" s="78"/>
      <c r="W1007" s="81" t="s">
        <v>1674</v>
      </c>
      <c r="X1007" s="81" t="s">
        <v>1674</v>
      </c>
      <c r="Y1007" s="78"/>
      <c r="Z1007" s="78"/>
      <c r="AA1007" s="81" t="s">
        <v>1674</v>
      </c>
      <c r="AB1007" s="79">
        <v>6</v>
      </c>
      <c r="AC1007" s="80" t="str">
        <f>REPLACE(INDEX(GroupVertices[Group],MATCH("~"&amp;Edges[[#This Row],[Vertex 1]],GroupVertices[Vertex],0)),1,1,"")</f>
        <v>2</v>
      </c>
      <c r="AD1007" s="80" t="str">
        <f>REPLACE(INDEX(GroupVertices[Group],MATCH("~"&amp;Edges[[#This Row],[Vertex 2]],GroupVertices[Vertex],0)),1,1,"")</f>
        <v>5</v>
      </c>
      <c r="AE1007" s="105"/>
      <c r="AF1007" s="105"/>
      <c r="AG1007" s="105"/>
      <c r="AH1007" s="105"/>
      <c r="AI1007" s="105"/>
      <c r="AJ1007" s="105"/>
      <c r="AK1007" s="105"/>
      <c r="AL1007" s="105"/>
      <c r="AM1007" s="105"/>
    </row>
    <row r="1008" spans="1:39" ht="15">
      <c r="A1008" s="62" t="s">
        <v>254</v>
      </c>
      <c r="B1008" s="62" t="s">
        <v>251</v>
      </c>
      <c r="C1008" s="63" t="s">
        <v>3598</v>
      </c>
      <c r="D1008" s="64">
        <v>5.2631578947368425</v>
      </c>
      <c r="E1008" s="65" t="s">
        <v>136</v>
      </c>
      <c r="F1008" s="66">
        <v>31.50943396226415</v>
      </c>
      <c r="G1008" s="63"/>
      <c r="H1008" s="67"/>
      <c r="I1008" s="68"/>
      <c r="J1008" s="68"/>
      <c r="K1008" s="31" t="s">
        <v>65</v>
      </c>
      <c r="L1008" s="76">
        <v>1008</v>
      </c>
      <c r="M1008" s="76"/>
      <c r="N1008" s="70"/>
      <c r="O1008" s="78" t="s">
        <v>305</v>
      </c>
      <c r="P1008" s="78" t="s">
        <v>594</v>
      </c>
      <c r="Q1008" s="78" t="s">
        <v>1160</v>
      </c>
      <c r="R1008" s="78" t="s">
        <v>1583</v>
      </c>
      <c r="S1008" s="78"/>
      <c r="T1008" s="78"/>
      <c r="U1008" s="78"/>
      <c r="V1008" s="78"/>
      <c r="W1008" s="81" t="s">
        <v>1674</v>
      </c>
      <c r="X1008" s="81" t="s">
        <v>1674</v>
      </c>
      <c r="Y1008" s="78"/>
      <c r="Z1008" s="78"/>
      <c r="AA1008" s="81" t="s">
        <v>1674</v>
      </c>
      <c r="AB1008" s="79">
        <v>2</v>
      </c>
      <c r="AC1008" s="80" t="str">
        <f>REPLACE(INDEX(GroupVertices[Group],MATCH("~"&amp;Edges[[#This Row],[Vertex 1]],GroupVertices[Vertex],0)),1,1,"")</f>
        <v>2</v>
      </c>
      <c r="AD1008" s="80" t="str">
        <f>REPLACE(INDEX(GroupVertices[Group],MATCH("~"&amp;Edges[[#This Row],[Vertex 2]],GroupVertices[Vertex],0)),1,1,"")</f>
        <v>3</v>
      </c>
      <c r="AE1008" s="105"/>
      <c r="AF1008" s="105"/>
      <c r="AG1008" s="105"/>
      <c r="AH1008" s="105"/>
      <c r="AI1008" s="105"/>
      <c r="AJ1008" s="105"/>
      <c r="AK1008" s="105"/>
      <c r="AL1008" s="105"/>
      <c r="AM1008" s="105"/>
    </row>
    <row r="1009" spans="1:39" ht="15">
      <c r="A1009" s="62" t="s">
        <v>254</v>
      </c>
      <c r="B1009" s="62" t="s">
        <v>251</v>
      </c>
      <c r="C1009" s="63" t="s">
        <v>3598</v>
      </c>
      <c r="D1009" s="64">
        <v>5.2631578947368425</v>
      </c>
      <c r="E1009" s="65" t="s">
        <v>136</v>
      </c>
      <c r="F1009" s="66">
        <v>31.50943396226415</v>
      </c>
      <c r="G1009" s="63"/>
      <c r="H1009" s="67"/>
      <c r="I1009" s="68"/>
      <c r="J1009" s="68"/>
      <c r="K1009" s="31" t="s">
        <v>65</v>
      </c>
      <c r="L1009" s="76">
        <v>1009</v>
      </c>
      <c r="M1009" s="76"/>
      <c r="N1009" s="70"/>
      <c r="O1009" s="78" t="s">
        <v>305</v>
      </c>
      <c r="P1009" s="78" t="s">
        <v>595</v>
      </c>
      <c r="Q1009" s="78" t="s">
        <v>1161</v>
      </c>
      <c r="R1009" s="78" t="s">
        <v>1584</v>
      </c>
      <c r="S1009" s="78"/>
      <c r="T1009" s="78"/>
      <c r="U1009" s="78"/>
      <c r="V1009" s="78"/>
      <c r="W1009" s="81" t="s">
        <v>1674</v>
      </c>
      <c r="X1009" s="81" t="s">
        <v>1674</v>
      </c>
      <c r="Y1009" s="78"/>
      <c r="Z1009" s="78"/>
      <c r="AA1009" s="81" t="s">
        <v>1674</v>
      </c>
      <c r="AB1009" s="79">
        <v>2</v>
      </c>
      <c r="AC1009" s="80" t="str">
        <f>REPLACE(INDEX(GroupVertices[Group],MATCH("~"&amp;Edges[[#This Row],[Vertex 1]],GroupVertices[Vertex],0)),1,1,"")</f>
        <v>2</v>
      </c>
      <c r="AD1009" s="80" t="str">
        <f>REPLACE(INDEX(GroupVertices[Group],MATCH("~"&amp;Edges[[#This Row],[Vertex 2]],GroupVertices[Vertex],0)),1,1,"")</f>
        <v>3</v>
      </c>
      <c r="AE1009" s="105"/>
      <c r="AF1009" s="105"/>
      <c r="AG1009" s="105"/>
      <c r="AH1009" s="105"/>
      <c r="AI1009" s="105"/>
      <c r="AJ1009" s="105"/>
      <c r="AK1009" s="105"/>
      <c r="AL1009" s="105"/>
      <c r="AM1009" s="105"/>
    </row>
    <row r="1010" spans="1:39" ht="15">
      <c r="A1010" s="62" t="s">
        <v>254</v>
      </c>
      <c r="B1010" s="62" t="s">
        <v>245</v>
      </c>
      <c r="C1010" s="63" t="s">
        <v>3602</v>
      </c>
      <c r="D1010" s="64">
        <v>5.526315789473684</v>
      </c>
      <c r="E1010" s="65" t="s">
        <v>136</v>
      </c>
      <c r="F1010" s="66">
        <v>31.0188679245283</v>
      </c>
      <c r="G1010" s="63"/>
      <c r="H1010" s="67"/>
      <c r="I1010" s="68"/>
      <c r="J1010" s="68"/>
      <c r="K1010" s="31" t="s">
        <v>65</v>
      </c>
      <c r="L1010" s="76">
        <v>1010</v>
      </c>
      <c r="M1010" s="76"/>
      <c r="N1010" s="70"/>
      <c r="O1010" s="78" t="s">
        <v>305</v>
      </c>
      <c r="P1010" s="78" t="s">
        <v>582</v>
      </c>
      <c r="Q1010" s="78" t="s">
        <v>1138</v>
      </c>
      <c r="R1010" s="78" t="s">
        <v>1137</v>
      </c>
      <c r="S1010" s="78"/>
      <c r="T1010" s="78"/>
      <c r="U1010" s="78"/>
      <c r="V1010" s="78"/>
      <c r="W1010" s="81" t="s">
        <v>1674</v>
      </c>
      <c r="X1010" s="81" t="s">
        <v>1674</v>
      </c>
      <c r="Y1010" s="78"/>
      <c r="Z1010" s="78"/>
      <c r="AA1010" s="81" t="s">
        <v>1674</v>
      </c>
      <c r="AB1010" s="79">
        <v>3</v>
      </c>
      <c r="AC1010" s="80" t="str">
        <f>REPLACE(INDEX(GroupVertices[Group],MATCH("~"&amp;Edges[[#This Row],[Vertex 1]],GroupVertices[Vertex],0)),1,1,"")</f>
        <v>2</v>
      </c>
      <c r="AD1010" s="80" t="str">
        <f>REPLACE(INDEX(GroupVertices[Group],MATCH("~"&amp;Edges[[#This Row],[Vertex 2]],GroupVertices[Vertex],0)),1,1,"")</f>
        <v>1</v>
      </c>
      <c r="AE1010" s="105"/>
      <c r="AF1010" s="105"/>
      <c r="AG1010" s="105"/>
      <c r="AH1010" s="105"/>
      <c r="AI1010" s="105"/>
      <c r="AJ1010" s="105"/>
      <c r="AK1010" s="105"/>
      <c r="AL1010" s="105"/>
      <c r="AM1010" s="105"/>
    </row>
    <row r="1011" spans="1:39" ht="15">
      <c r="A1011" s="62" t="s">
        <v>254</v>
      </c>
      <c r="B1011" s="62" t="s">
        <v>245</v>
      </c>
      <c r="C1011" s="63" t="s">
        <v>3602</v>
      </c>
      <c r="D1011" s="64">
        <v>5.526315789473684</v>
      </c>
      <c r="E1011" s="65" t="s">
        <v>136</v>
      </c>
      <c r="F1011" s="66">
        <v>31.0188679245283</v>
      </c>
      <c r="G1011" s="63"/>
      <c r="H1011" s="67"/>
      <c r="I1011" s="68"/>
      <c r="J1011" s="68"/>
      <c r="K1011" s="31" t="s">
        <v>65</v>
      </c>
      <c r="L1011" s="76">
        <v>1011</v>
      </c>
      <c r="M1011" s="76"/>
      <c r="N1011" s="70"/>
      <c r="O1011" s="78" t="s">
        <v>305</v>
      </c>
      <c r="P1011" s="78" t="s">
        <v>596</v>
      </c>
      <c r="Q1011" s="78" t="s">
        <v>1162</v>
      </c>
      <c r="R1011" s="78" t="s">
        <v>1585</v>
      </c>
      <c r="S1011" s="78"/>
      <c r="T1011" s="78"/>
      <c r="U1011" s="78"/>
      <c r="V1011" s="78"/>
      <c r="W1011" s="81" t="s">
        <v>1674</v>
      </c>
      <c r="X1011" s="81" t="s">
        <v>1674</v>
      </c>
      <c r="Y1011" s="78"/>
      <c r="Z1011" s="78"/>
      <c r="AA1011" s="81" t="s">
        <v>1674</v>
      </c>
      <c r="AB1011" s="79">
        <v>3</v>
      </c>
      <c r="AC1011" s="80" t="str">
        <f>REPLACE(INDEX(GroupVertices[Group],MATCH("~"&amp;Edges[[#This Row],[Vertex 1]],GroupVertices[Vertex],0)),1,1,"")</f>
        <v>2</v>
      </c>
      <c r="AD1011" s="80" t="str">
        <f>REPLACE(INDEX(GroupVertices[Group],MATCH("~"&amp;Edges[[#This Row],[Vertex 2]],GroupVertices[Vertex],0)),1,1,"")</f>
        <v>1</v>
      </c>
      <c r="AE1011" s="105"/>
      <c r="AF1011" s="105"/>
      <c r="AG1011" s="105"/>
      <c r="AH1011" s="105"/>
      <c r="AI1011" s="105"/>
      <c r="AJ1011" s="105"/>
      <c r="AK1011" s="105"/>
      <c r="AL1011" s="105"/>
      <c r="AM1011" s="105"/>
    </row>
    <row r="1012" spans="1:39" ht="15">
      <c r="A1012" s="62" t="s">
        <v>254</v>
      </c>
      <c r="B1012" s="62" t="s">
        <v>245</v>
      </c>
      <c r="C1012" s="63" t="s">
        <v>3602</v>
      </c>
      <c r="D1012" s="64">
        <v>5.526315789473684</v>
      </c>
      <c r="E1012" s="65" t="s">
        <v>136</v>
      </c>
      <c r="F1012" s="66">
        <v>31.0188679245283</v>
      </c>
      <c r="G1012" s="63"/>
      <c r="H1012" s="67"/>
      <c r="I1012" s="68"/>
      <c r="J1012" s="68"/>
      <c r="K1012" s="31" t="s">
        <v>65</v>
      </c>
      <c r="L1012" s="76">
        <v>1012</v>
      </c>
      <c r="M1012" s="76"/>
      <c r="N1012" s="70"/>
      <c r="O1012" s="78" t="s">
        <v>305</v>
      </c>
      <c r="P1012" s="78" t="s">
        <v>361</v>
      </c>
      <c r="Q1012" s="78" t="s">
        <v>729</v>
      </c>
      <c r="R1012" s="78" t="s">
        <v>723</v>
      </c>
      <c r="S1012" s="78"/>
      <c r="T1012" s="78"/>
      <c r="U1012" s="78"/>
      <c r="V1012" s="78"/>
      <c r="W1012" s="81" t="s">
        <v>1674</v>
      </c>
      <c r="X1012" s="81" t="s">
        <v>1674</v>
      </c>
      <c r="Y1012" s="78"/>
      <c r="Z1012" s="78"/>
      <c r="AA1012" s="81" t="s">
        <v>1674</v>
      </c>
      <c r="AB1012" s="79">
        <v>3</v>
      </c>
      <c r="AC1012" s="80" t="str">
        <f>REPLACE(INDEX(GroupVertices[Group],MATCH("~"&amp;Edges[[#This Row],[Vertex 1]],GroupVertices[Vertex],0)),1,1,"")</f>
        <v>2</v>
      </c>
      <c r="AD1012" s="80" t="str">
        <f>REPLACE(INDEX(GroupVertices[Group],MATCH("~"&amp;Edges[[#This Row],[Vertex 2]],GroupVertices[Vertex],0)),1,1,"")</f>
        <v>1</v>
      </c>
      <c r="AE1012" s="105"/>
      <c r="AF1012" s="105"/>
      <c r="AG1012" s="105"/>
      <c r="AH1012" s="105"/>
      <c r="AI1012" s="105"/>
      <c r="AJ1012" s="105"/>
      <c r="AK1012" s="105"/>
      <c r="AL1012" s="105"/>
      <c r="AM1012" s="105"/>
    </row>
    <row r="1013" spans="1:39" ht="15">
      <c r="A1013" s="62" t="s">
        <v>256</v>
      </c>
      <c r="B1013" s="62" t="s">
        <v>254</v>
      </c>
      <c r="C1013" s="63" t="s">
        <v>3606</v>
      </c>
      <c r="D1013" s="64">
        <v>9.473684210526315</v>
      </c>
      <c r="E1013" s="65" t="s">
        <v>136</v>
      </c>
      <c r="F1013" s="66">
        <v>23.660377358490564</v>
      </c>
      <c r="G1013" s="63"/>
      <c r="H1013" s="67"/>
      <c r="I1013" s="68"/>
      <c r="J1013" s="68"/>
      <c r="K1013" s="31" t="s">
        <v>65</v>
      </c>
      <c r="L1013" s="76">
        <v>1013</v>
      </c>
      <c r="M1013" s="76"/>
      <c r="N1013" s="70"/>
      <c r="O1013" s="78" t="s">
        <v>305</v>
      </c>
      <c r="P1013" s="78" t="s">
        <v>587</v>
      </c>
      <c r="Q1013" s="78" t="s">
        <v>1150</v>
      </c>
      <c r="R1013" s="78" t="s">
        <v>1149</v>
      </c>
      <c r="S1013" s="78"/>
      <c r="T1013" s="78"/>
      <c r="U1013" s="78"/>
      <c r="V1013" s="78"/>
      <c r="W1013" s="81" t="s">
        <v>1674</v>
      </c>
      <c r="X1013" s="81" t="s">
        <v>1674</v>
      </c>
      <c r="Y1013" s="78"/>
      <c r="Z1013" s="78"/>
      <c r="AA1013" s="81" t="s">
        <v>1674</v>
      </c>
      <c r="AB1013" s="79">
        <v>18</v>
      </c>
      <c r="AC1013" s="80" t="str">
        <f>REPLACE(INDEX(GroupVertices[Group],MATCH("~"&amp;Edges[[#This Row],[Vertex 1]],GroupVertices[Vertex],0)),1,1,"")</f>
        <v>1</v>
      </c>
      <c r="AD1013" s="80" t="str">
        <f>REPLACE(INDEX(GroupVertices[Group],MATCH("~"&amp;Edges[[#This Row],[Vertex 2]],GroupVertices[Vertex],0)),1,1,"")</f>
        <v>2</v>
      </c>
      <c r="AE1013" s="105"/>
      <c r="AF1013" s="105"/>
      <c r="AG1013" s="105"/>
      <c r="AH1013" s="105"/>
      <c r="AI1013" s="105"/>
      <c r="AJ1013" s="105"/>
      <c r="AK1013" s="105"/>
      <c r="AL1013" s="105"/>
      <c r="AM1013" s="105"/>
    </row>
    <row r="1014" spans="1:39" ht="15">
      <c r="A1014" s="62" t="s">
        <v>256</v>
      </c>
      <c r="B1014" s="62" t="s">
        <v>254</v>
      </c>
      <c r="C1014" s="63" t="s">
        <v>3606</v>
      </c>
      <c r="D1014" s="64">
        <v>9.473684210526315</v>
      </c>
      <c r="E1014" s="65" t="s">
        <v>136</v>
      </c>
      <c r="F1014" s="66">
        <v>23.660377358490564</v>
      </c>
      <c r="G1014" s="63"/>
      <c r="H1014" s="67"/>
      <c r="I1014" s="68"/>
      <c r="J1014" s="68"/>
      <c r="K1014" s="31" t="s">
        <v>65</v>
      </c>
      <c r="L1014" s="76">
        <v>1014</v>
      </c>
      <c r="M1014" s="76"/>
      <c r="N1014" s="70"/>
      <c r="O1014" s="78" t="s">
        <v>305</v>
      </c>
      <c r="P1014" s="78" t="s">
        <v>357</v>
      </c>
      <c r="Q1014" s="78" t="s">
        <v>732</v>
      </c>
      <c r="R1014" s="78" t="s">
        <v>726</v>
      </c>
      <c r="S1014" s="78"/>
      <c r="T1014" s="78"/>
      <c r="U1014" s="78"/>
      <c r="V1014" s="78"/>
      <c r="W1014" s="81" t="s">
        <v>1674</v>
      </c>
      <c r="X1014" s="81" t="s">
        <v>1674</v>
      </c>
      <c r="Y1014" s="78"/>
      <c r="Z1014" s="78"/>
      <c r="AA1014" s="81" t="s">
        <v>1674</v>
      </c>
      <c r="AB1014" s="79">
        <v>18</v>
      </c>
      <c r="AC1014" s="80" t="str">
        <f>REPLACE(INDEX(GroupVertices[Group],MATCH("~"&amp;Edges[[#This Row],[Vertex 1]],GroupVertices[Vertex],0)),1,1,"")</f>
        <v>1</v>
      </c>
      <c r="AD1014" s="80" t="str">
        <f>REPLACE(INDEX(GroupVertices[Group],MATCH("~"&amp;Edges[[#This Row],[Vertex 2]],GroupVertices[Vertex],0)),1,1,"")</f>
        <v>2</v>
      </c>
      <c r="AE1014" s="105"/>
      <c r="AF1014" s="105"/>
      <c r="AG1014" s="105"/>
      <c r="AH1014" s="105"/>
      <c r="AI1014" s="105"/>
      <c r="AJ1014" s="105"/>
      <c r="AK1014" s="105"/>
      <c r="AL1014" s="105"/>
      <c r="AM1014" s="105"/>
    </row>
    <row r="1015" spans="1:39" ht="15">
      <c r="A1015" s="62" t="s">
        <v>256</v>
      </c>
      <c r="B1015" s="62" t="s">
        <v>254</v>
      </c>
      <c r="C1015" s="63" t="s">
        <v>3606</v>
      </c>
      <c r="D1015" s="64">
        <v>9.473684210526315</v>
      </c>
      <c r="E1015" s="65" t="s">
        <v>136</v>
      </c>
      <c r="F1015" s="66">
        <v>23.660377358490564</v>
      </c>
      <c r="G1015" s="63"/>
      <c r="H1015" s="67"/>
      <c r="I1015" s="68"/>
      <c r="J1015" s="68"/>
      <c r="K1015" s="31" t="s">
        <v>65</v>
      </c>
      <c r="L1015" s="76">
        <v>1015</v>
      </c>
      <c r="M1015" s="76"/>
      <c r="N1015" s="70"/>
      <c r="O1015" s="78" t="s">
        <v>305</v>
      </c>
      <c r="P1015" s="78" t="s">
        <v>357</v>
      </c>
      <c r="Q1015" s="78" t="s">
        <v>732</v>
      </c>
      <c r="R1015" s="78" t="s">
        <v>727</v>
      </c>
      <c r="S1015" s="78"/>
      <c r="T1015" s="78"/>
      <c r="U1015" s="78"/>
      <c r="V1015" s="78"/>
      <c r="W1015" s="81" t="s">
        <v>1674</v>
      </c>
      <c r="X1015" s="81" t="s">
        <v>1674</v>
      </c>
      <c r="Y1015" s="78"/>
      <c r="Z1015" s="78"/>
      <c r="AA1015" s="81" t="s">
        <v>1674</v>
      </c>
      <c r="AB1015" s="79">
        <v>18</v>
      </c>
      <c r="AC1015" s="80" t="str">
        <f>REPLACE(INDEX(GroupVertices[Group],MATCH("~"&amp;Edges[[#This Row],[Vertex 1]],GroupVertices[Vertex],0)),1,1,"")</f>
        <v>1</v>
      </c>
      <c r="AD1015" s="80" t="str">
        <f>REPLACE(INDEX(GroupVertices[Group],MATCH("~"&amp;Edges[[#This Row],[Vertex 2]],GroupVertices[Vertex],0)),1,1,"")</f>
        <v>2</v>
      </c>
      <c r="AE1015" s="105"/>
      <c r="AF1015" s="105"/>
      <c r="AG1015" s="105"/>
      <c r="AH1015" s="105"/>
      <c r="AI1015" s="105"/>
      <c r="AJ1015" s="105"/>
      <c r="AK1015" s="105"/>
      <c r="AL1015" s="105"/>
      <c r="AM1015" s="105"/>
    </row>
    <row r="1016" spans="1:39" ht="15">
      <c r="A1016" s="62" t="s">
        <v>256</v>
      </c>
      <c r="B1016" s="62" t="s">
        <v>254</v>
      </c>
      <c r="C1016" s="63" t="s">
        <v>3606</v>
      </c>
      <c r="D1016" s="64">
        <v>9.473684210526315</v>
      </c>
      <c r="E1016" s="65" t="s">
        <v>136</v>
      </c>
      <c r="F1016" s="66">
        <v>23.660377358490564</v>
      </c>
      <c r="G1016" s="63"/>
      <c r="H1016" s="67"/>
      <c r="I1016" s="68"/>
      <c r="J1016" s="68"/>
      <c r="K1016" s="31" t="s">
        <v>65</v>
      </c>
      <c r="L1016" s="76">
        <v>1016</v>
      </c>
      <c r="M1016" s="76"/>
      <c r="N1016" s="70"/>
      <c r="O1016" s="78" t="s">
        <v>305</v>
      </c>
      <c r="P1016" s="78" t="s">
        <v>597</v>
      </c>
      <c r="Q1016" s="78" t="s">
        <v>1163</v>
      </c>
      <c r="R1016" s="78" t="s">
        <v>1586</v>
      </c>
      <c r="S1016" s="78"/>
      <c r="T1016" s="78"/>
      <c r="U1016" s="78"/>
      <c r="V1016" s="78"/>
      <c r="W1016" s="81" t="s">
        <v>1674</v>
      </c>
      <c r="X1016" s="81" t="s">
        <v>1674</v>
      </c>
      <c r="Y1016" s="78"/>
      <c r="Z1016" s="78"/>
      <c r="AA1016" s="81" t="s">
        <v>1674</v>
      </c>
      <c r="AB1016" s="79">
        <v>18</v>
      </c>
      <c r="AC1016" s="80" t="str">
        <f>REPLACE(INDEX(GroupVertices[Group],MATCH("~"&amp;Edges[[#This Row],[Vertex 1]],GroupVertices[Vertex],0)),1,1,"")</f>
        <v>1</v>
      </c>
      <c r="AD1016" s="80" t="str">
        <f>REPLACE(INDEX(GroupVertices[Group],MATCH("~"&amp;Edges[[#This Row],[Vertex 2]],GroupVertices[Vertex],0)),1,1,"")</f>
        <v>2</v>
      </c>
      <c r="AE1016" s="105"/>
      <c r="AF1016" s="105"/>
      <c r="AG1016" s="105"/>
      <c r="AH1016" s="105"/>
      <c r="AI1016" s="105"/>
      <c r="AJ1016" s="105"/>
      <c r="AK1016" s="105"/>
      <c r="AL1016" s="105"/>
      <c r="AM1016" s="105"/>
    </row>
    <row r="1017" spans="1:39" ht="15">
      <c r="A1017" s="62" t="s">
        <v>256</v>
      </c>
      <c r="B1017" s="62" t="s">
        <v>254</v>
      </c>
      <c r="C1017" s="63" t="s">
        <v>3606</v>
      </c>
      <c r="D1017" s="64">
        <v>9.473684210526315</v>
      </c>
      <c r="E1017" s="65" t="s">
        <v>136</v>
      </c>
      <c r="F1017" s="66">
        <v>23.660377358490564</v>
      </c>
      <c r="G1017" s="63"/>
      <c r="H1017" s="67"/>
      <c r="I1017" s="68"/>
      <c r="J1017" s="68"/>
      <c r="K1017" s="31" t="s">
        <v>65</v>
      </c>
      <c r="L1017" s="76">
        <v>1017</v>
      </c>
      <c r="M1017" s="76"/>
      <c r="N1017" s="70"/>
      <c r="O1017" s="78" t="s">
        <v>305</v>
      </c>
      <c r="P1017" s="78" t="s">
        <v>597</v>
      </c>
      <c r="Q1017" s="78" t="s">
        <v>1163</v>
      </c>
      <c r="R1017" s="78" t="s">
        <v>1587</v>
      </c>
      <c r="S1017" s="78"/>
      <c r="T1017" s="78"/>
      <c r="U1017" s="78"/>
      <c r="V1017" s="78"/>
      <c r="W1017" s="81" t="s">
        <v>1674</v>
      </c>
      <c r="X1017" s="81" t="s">
        <v>1674</v>
      </c>
      <c r="Y1017" s="78"/>
      <c r="Z1017" s="78"/>
      <c r="AA1017" s="81" t="s">
        <v>1674</v>
      </c>
      <c r="AB1017" s="79">
        <v>18</v>
      </c>
      <c r="AC1017" s="80" t="str">
        <f>REPLACE(INDEX(GroupVertices[Group],MATCH("~"&amp;Edges[[#This Row],[Vertex 1]],GroupVertices[Vertex],0)),1,1,"")</f>
        <v>1</v>
      </c>
      <c r="AD1017" s="80" t="str">
        <f>REPLACE(INDEX(GroupVertices[Group],MATCH("~"&amp;Edges[[#This Row],[Vertex 2]],GroupVertices[Vertex],0)),1,1,"")</f>
        <v>2</v>
      </c>
      <c r="AE1017" s="105"/>
      <c r="AF1017" s="105"/>
      <c r="AG1017" s="105"/>
      <c r="AH1017" s="105"/>
      <c r="AI1017" s="105"/>
      <c r="AJ1017" s="105"/>
      <c r="AK1017" s="105"/>
      <c r="AL1017" s="105"/>
      <c r="AM1017" s="105"/>
    </row>
    <row r="1018" spans="1:39" ht="15">
      <c r="A1018" s="62" t="s">
        <v>256</v>
      </c>
      <c r="B1018" s="62" t="s">
        <v>254</v>
      </c>
      <c r="C1018" s="63" t="s">
        <v>3606</v>
      </c>
      <c r="D1018" s="64">
        <v>9.473684210526315</v>
      </c>
      <c r="E1018" s="65" t="s">
        <v>136</v>
      </c>
      <c r="F1018" s="66">
        <v>23.660377358490564</v>
      </c>
      <c r="G1018" s="63"/>
      <c r="H1018" s="67"/>
      <c r="I1018" s="68"/>
      <c r="J1018" s="68"/>
      <c r="K1018" s="31" t="s">
        <v>65</v>
      </c>
      <c r="L1018" s="76">
        <v>1018</v>
      </c>
      <c r="M1018" s="76"/>
      <c r="N1018" s="70"/>
      <c r="O1018" s="78" t="s">
        <v>305</v>
      </c>
      <c r="P1018" s="78" t="s">
        <v>597</v>
      </c>
      <c r="Q1018" s="78" t="s">
        <v>1163</v>
      </c>
      <c r="R1018" s="78" t="s">
        <v>1588</v>
      </c>
      <c r="S1018" s="78"/>
      <c r="T1018" s="78"/>
      <c r="U1018" s="78"/>
      <c r="V1018" s="78"/>
      <c r="W1018" s="81" t="s">
        <v>1674</v>
      </c>
      <c r="X1018" s="81" t="s">
        <v>1674</v>
      </c>
      <c r="Y1018" s="78"/>
      <c r="Z1018" s="78"/>
      <c r="AA1018" s="81" t="s">
        <v>1674</v>
      </c>
      <c r="AB1018" s="79">
        <v>18</v>
      </c>
      <c r="AC1018" s="80" t="str">
        <f>REPLACE(INDEX(GroupVertices[Group],MATCH("~"&amp;Edges[[#This Row],[Vertex 1]],GroupVertices[Vertex],0)),1,1,"")</f>
        <v>1</v>
      </c>
      <c r="AD1018" s="80" t="str">
        <f>REPLACE(INDEX(GroupVertices[Group],MATCH("~"&amp;Edges[[#This Row],[Vertex 2]],GroupVertices[Vertex],0)),1,1,"")</f>
        <v>2</v>
      </c>
      <c r="AE1018" s="105"/>
      <c r="AF1018" s="105"/>
      <c r="AG1018" s="105"/>
      <c r="AH1018" s="105"/>
      <c r="AI1018" s="105"/>
      <c r="AJ1018" s="105"/>
      <c r="AK1018" s="105"/>
      <c r="AL1018" s="105"/>
      <c r="AM1018" s="105"/>
    </row>
    <row r="1019" spans="1:39" ht="15">
      <c r="A1019" s="62" t="s">
        <v>256</v>
      </c>
      <c r="B1019" s="62" t="s">
        <v>254</v>
      </c>
      <c r="C1019" s="63" t="s">
        <v>3606</v>
      </c>
      <c r="D1019" s="64">
        <v>9.473684210526315</v>
      </c>
      <c r="E1019" s="65" t="s">
        <v>136</v>
      </c>
      <c r="F1019" s="66">
        <v>23.660377358490564</v>
      </c>
      <c r="G1019" s="63"/>
      <c r="H1019" s="67"/>
      <c r="I1019" s="68"/>
      <c r="J1019" s="68"/>
      <c r="K1019" s="31" t="s">
        <v>65</v>
      </c>
      <c r="L1019" s="76">
        <v>1019</v>
      </c>
      <c r="M1019" s="76"/>
      <c r="N1019" s="70"/>
      <c r="O1019" s="78" t="s">
        <v>305</v>
      </c>
      <c r="P1019" s="78" t="s">
        <v>357</v>
      </c>
      <c r="Q1019" s="78" t="s">
        <v>732</v>
      </c>
      <c r="R1019" s="78" t="s">
        <v>726</v>
      </c>
      <c r="S1019" s="78"/>
      <c r="T1019" s="78"/>
      <c r="U1019" s="78"/>
      <c r="V1019" s="78"/>
      <c r="W1019" s="81" t="s">
        <v>1674</v>
      </c>
      <c r="X1019" s="81" t="s">
        <v>1674</v>
      </c>
      <c r="Y1019" s="78"/>
      <c r="Z1019" s="78"/>
      <c r="AA1019" s="81" t="s">
        <v>1674</v>
      </c>
      <c r="AB1019" s="79">
        <v>18</v>
      </c>
      <c r="AC1019" s="80" t="str">
        <f>REPLACE(INDEX(GroupVertices[Group],MATCH("~"&amp;Edges[[#This Row],[Vertex 1]],GroupVertices[Vertex],0)),1,1,"")</f>
        <v>1</v>
      </c>
      <c r="AD1019" s="80" t="str">
        <f>REPLACE(INDEX(GroupVertices[Group],MATCH("~"&amp;Edges[[#This Row],[Vertex 2]],GroupVertices[Vertex],0)),1,1,"")</f>
        <v>2</v>
      </c>
      <c r="AE1019" s="105"/>
      <c r="AF1019" s="105"/>
      <c r="AG1019" s="105"/>
      <c r="AH1019" s="105"/>
      <c r="AI1019" s="105"/>
      <c r="AJ1019" s="105"/>
      <c r="AK1019" s="105"/>
      <c r="AL1019" s="105"/>
      <c r="AM1019" s="105"/>
    </row>
    <row r="1020" spans="1:39" ht="15">
      <c r="A1020" s="62" t="s">
        <v>256</v>
      </c>
      <c r="B1020" s="62" t="s">
        <v>254</v>
      </c>
      <c r="C1020" s="63" t="s">
        <v>3606</v>
      </c>
      <c r="D1020" s="64">
        <v>9.473684210526315</v>
      </c>
      <c r="E1020" s="65" t="s">
        <v>136</v>
      </c>
      <c r="F1020" s="66">
        <v>23.660377358490564</v>
      </c>
      <c r="G1020" s="63"/>
      <c r="H1020" s="67"/>
      <c r="I1020" s="68"/>
      <c r="J1020" s="68"/>
      <c r="K1020" s="31" t="s">
        <v>65</v>
      </c>
      <c r="L1020" s="76">
        <v>1020</v>
      </c>
      <c r="M1020" s="76"/>
      <c r="N1020" s="70"/>
      <c r="O1020" s="78" t="s">
        <v>305</v>
      </c>
      <c r="P1020" s="78" t="s">
        <v>357</v>
      </c>
      <c r="Q1020" s="78" t="s">
        <v>732</v>
      </c>
      <c r="R1020" s="78" t="s">
        <v>727</v>
      </c>
      <c r="S1020" s="78"/>
      <c r="T1020" s="78"/>
      <c r="U1020" s="78"/>
      <c r="V1020" s="78"/>
      <c r="W1020" s="81" t="s">
        <v>1674</v>
      </c>
      <c r="X1020" s="81" t="s">
        <v>1674</v>
      </c>
      <c r="Y1020" s="78"/>
      <c r="Z1020" s="78"/>
      <c r="AA1020" s="81" t="s">
        <v>1674</v>
      </c>
      <c r="AB1020" s="79">
        <v>18</v>
      </c>
      <c r="AC1020" s="80" t="str">
        <f>REPLACE(INDEX(GroupVertices[Group],MATCH("~"&amp;Edges[[#This Row],[Vertex 1]],GroupVertices[Vertex],0)),1,1,"")</f>
        <v>1</v>
      </c>
      <c r="AD1020" s="80" t="str">
        <f>REPLACE(INDEX(GroupVertices[Group],MATCH("~"&amp;Edges[[#This Row],[Vertex 2]],GroupVertices[Vertex],0)),1,1,"")</f>
        <v>2</v>
      </c>
      <c r="AE1020" s="105"/>
      <c r="AF1020" s="105"/>
      <c r="AG1020" s="105"/>
      <c r="AH1020" s="105"/>
      <c r="AI1020" s="105"/>
      <c r="AJ1020" s="105"/>
      <c r="AK1020" s="105"/>
      <c r="AL1020" s="105"/>
      <c r="AM1020" s="105"/>
    </row>
    <row r="1021" spans="1:39" ht="15">
      <c r="A1021" s="62" t="s">
        <v>256</v>
      </c>
      <c r="B1021" s="62" t="s">
        <v>254</v>
      </c>
      <c r="C1021" s="63" t="s">
        <v>3606</v>
      </c>
      <c r="D1021" s="64">
        <v>9.473684210526315</v>
      </c>
      <c r="E1021" s="65" t="s">
        <v>136</v>
      </c>
      <c r="F1021" s="66">
        <v>23.660377358490564</v>
      </c>
      <c r="G1021" s="63"/>
      <c r="H1021" s="67"/>
      <c r="I1021" s="68"/>
      <c r="J1021" s="68"/>
      <c r="K1021" s="31" t="s">
        <v>65</v>
      </c>
      <c r="L1021" s="76">
        <v>1021</v>
      </c>
      <c r="M1021" s="76"/>
      <c r="N1021" s="70"/>
      <c r="O1021" s="78" t="s">
        <v>305</v>
      </c>
      <c r="P1021" s="78" t="s">
        <v>370</v>
      </c>
      <c r="Q1021" s="78" t="s">
        <v>936</v>
      </c>
      <c r="R1021" s="78" t="s">
        <v>930</v>
      </c>
      <c r="S1021" s="78"/>
      <c r="T1021" s="78"/>
      <c r="U1021" s="78"/>
      <c r="V1021" s="78"/>
      <c r="W1021" s="81" t="s">
        <v>1674</v>
      </c>
      <c r="X1021" s="81" t="s">
        <v>1674</v>
      </c>
      <c r="Y1021" s="78"/>
      <c r="Z1021" s="78"/>
      <c r="AA1021" s="81" t="s">
        <v>1674</v>
      </c>
      <c r="AB1021" s="79">
        <v>18</v>
      </c>
      <c r="AC1021" s="80" t="str">
        <f>REPLACE(INDEX(GroupVertices[Group],MATCH("~"&amp;Edges[[#This Row],[Vertex 1]],GroupVertices[Vertex],0)),1,1,"")</f>
        <v>1</v>
      </c>
      <c r="AD1021" s="80" t="str">
        <f>REPLACE(INDEX(GroupVertices[Group],MATCH("~"&amp;Edges[[#This Row],[Vertex 2]],GroupVertices[Vertex],0)),1,1,"")</f>
        <v>2</v>
      </c>
      <c r="AE1021" s="105"/>
      <c r="AF1021" s="105"/>
      <c r="AG1021" s="105"/>
      <c r="AH1021" s="105"/>
      <c r="AI1021" s="105"/>
      <c r="AJ1021" s="105"/>
      <c r="AK1021" s="105"/>
      <c r="AL1021" s="105"/>
      <c r="AM1021" s="105"/>
    </row>
    <row r="1022" spans="1:39" ht="15">
      <c r="A1022" s="62" t="s">
        <v>256</v>
      </c>
      <c r="B1022" s="62" t="s">
        <v>254</v>
      </c>
      <c r="C1022" s="63" t="s">
        <v>3606</v>
      </c>
      <c r="D1022" s="64">
        <v>9.473684210526315</v>
      </c>
      <c r="E1022" s="65" t="s">
        <v>136</v>
      </c>
      <c r="F1022" s="66">
        <v>23.660377358490564</v>
      </c>
      <c r="G1022" s="63"/>
      <c r="H1022" s="67"/>
      <c r="I1022" s="68"/>
      <c r="J1022" s="68"/>
      <c r="K1022" s="31" t="s">
        <v>65</v>
      </c>
      <c r="L1022" s="76">
        <v>1022</v>
      </c>
      <c r="M1022" s="76"/>
      <c r="N1022" s="70"/>
      <c r="O1022" s="78" t="s">
        <v>305</v>
      </c>
      <c r="P1022" s="78" t="s">
        <v>370</v>
      </c>
      <c r="Q1022" s="78" t="s">
        <v>936</v>
      </c>
      <c r="R1022" s="78" t="s">
        <v>933</v>
      </c>
      <c r="S1022" s="78"/>
      <c r="T1022" s="78"/>
      <c r="U1022" s="78"/>
      <c r="V1022" s="78"/>
      <c r="W1022" s="81" t="s">
        <v>1674</v>
      </c>
      <c r="X1022" s="81" t="s">
        <v>1674</v>
      </c>
      <c r="Y1022" s="78"/>
      <c r="Z1022" s="78"/>
      <c r="AA1022" s="81" t="s">
        <v>1674</v>
      </c>
      <c r="AB1022" s="79">
        <v>18</v>
      </c>
      <c r="AC1022" s="80" t="str">
        <f>REPLACE(INDEX(GroupVertices[Group],MATCH("~"&amp;Edges[[#This Row],[Vertex 1]],GroupVertices[Vertex],0)),1,1,"")</f>
        <v>1</v>
      </c>
      <c r="AD1022" s="80" t="str">
        <f>REPLACE(INDEX(GroupVertices[Group],MATCH("~"&amp;Edges[[#This Row],[Vertex 2]],GroupVertices[Vertex],0)),1,1,"")</f>
        <v>2</v>
      </c>
      <c r="AE1022" s="105"/>
      <c r="AF1022" s="105"/>
      <c r="AG1022" s="105"/>
      <c r="AH1022" s="105"/>
      <c r="AI1022" s="105"/>
      <c r="AJ1022" s="105"/>
      <c r="AK1022" s="105"/>
      <c r="AL1022" s="105"/>
      <c r="AM1022" s="105"/>
    </row>
    <row r="1023" spans="1:39" ht="15">
      <c r="A1023" s="62" t="s">
        <v>256</v>
      </c>
      <c r="B1023" s="62" t="s">
        <v>254</v>
      </c>
      <c r="C1023" s="63" t="s">
        <v>3606</v>
      </c>
      <c r="D1023" s="64">
        <v>9.473684210526315</v>
      </c>
      <c r="E1023" s="65" t="s">
        <v>136</v>
      </c>
      <c r="F1023" s="66">
        <v>23.660377358490564</v>
      </c>
      <c r="G1023" s="63"/>
      <c r="H1023" s="67"/>
      <c r="I1023" s="68"/>
      <c r="J1023" s="68"/>
      <c r="K1023" s="31" t="s">
        <v>65</v>
      </c>
      <c r="L1023" s="76">
        <v>1023</v>
      </c>
      <c r="M1023" s="76"/>
      <c r="N1023" s="70"/>
      <c r="O1023" s="78" t="s">
        <v>305</v>
      </c>
      <c r="P1023" s="78" t="s">
        <v>370</v>
      </c>
      <c r="Q1023" s="78" t="s">
        <v>936</v>
      </c>
      <c r="R1023" s="78" t="s">
        <v>934</v>
      </c>
      <c r="S1023" s="78"/>
      <c r="T1023" s="78"/>
      <c r="U1023" s="78"/>
      <c r="V1023" s="78"/>
      <c r="W1023" s="81" t="s">
        <v>1674</v>
      </c>
      <c r="X1023" s="81" t="s">
        <v>1674</v>
      </c>
      <c r="Y1023" s="78"/>
      <c r="Z1023" s="78"/>
      <c r="AA1023" s="81" t="s">
        <v>1674</v>
      </c>
      <c r="AB1023" s="79">
        <v>18</v>
      </c>
      <c r="AC1023" s="80" t="str">
        <f>REPLACE(INDEX(GroupVertices[Group],MATCH("~"&amp;Edges[[#This Row],[Vertex 1]],GroupVertices[Vertex],0)),1,1,"")</f>
        <v>1</v>
      </c>
      <c r="AD1023" s="80" t="str">
        <f>REPLACE(INDEX(GroupVertices[Group],MATCH("~"&amp;Edges[[#This Row],[Vertex 2]],GroupVertices[Vertex],0)),1,1,"")</f>
        <v>2</v>
      </c>
      <c r="AE1023" s="105"/>
      <c r="AF1023" s="105"/>
      <c r="AG1023" s="105"/>
      <c r="AH1023" s="105"/>
      <c r="AI1023" s="105"/>
      <c r="AJ1023" s="105"/>
      <c r="AK1023" s="105"/>
      <c r="AL1023" s="105"/>
      <c r="AM1023" s="105"/>
    </row>
    <row r="1024" spans="1:39" ht="15">
      <c r="A1024" s="62" t="s">
        <v>256</v>
      </c>
      <c r="B1024" s="62" t="s">
        <v>254</v>
      </c>
      <c r="C1024" s="63" t="s">
        <v>3606</v>
      </c>
      <c r="D1024" s="64">
        <v>9.473684210526315</v>
      </c>
      <c r="E1024" s="65" t="s">
        <v>136</v>
      </c>
      <c r="F1024" s="66">
        <v>23.660377358490564</v>
      </c>
      <c r="G1024" s="63"/>
      <c r="H1024" s="67"/>
      <c r="I1024" s="68"/>
      <c r="J1024" s="68"/>
      <c r="K1024" s="31" t="s">
        <v>65</v>
      </c>
      <c r="L1024" s="76">
        <v>1024</v>
      </c>
      <c r="M1024" s="76"/>
      <c r="N1024" s="70"/>
      <c r="O1024" s="78" t="s">
        <v>305</v>
      </c>
      <c r="P1024" s="78" t="s">
        <v>370</v>
      </c>
      <c r="Q1024" s="78" t="s">
        <v>937</v>
      </c>
      <c r="R1024" s="78" t="s">
        <v>930</v>
      </c>
      <c r="S1024" s="78"/>
      <c r="T1024" s="78"/>
      <c r="U1024" s="78"/>
      <c r="V1024" s="78"/>
      <c r="W1024" s="81" t="s">
        <v>1674</v>
      </c>
      <c r="X1024" s="81" t="s">
        <v>1674</v>
      </c>
      <c r="Y1024" s="78"/>
      <c r="Z1024" s="78"/>
      <c r="AA1024" s="81" t="s">
        <v>1674</v>
      </c>
      <c r="AB1024" s="79">
        <v>18</v>
      </c>
      <c r="AC1024" s="80" t="str">
        <f>REPLACE(INDEX(GroupVertices[Group],MATCH("~"&amp;Edges[[#This Row],[Vertex 1]],GroupVertices[Vertex],0)),1,1,"")</f>
        <v>1</v>
      </c>
      <c r="AD1024" s="80" t="str">
        <f>REPLACE(INDEX(GroupVertices[Group],MATCH("~"&amp;Edges[[#This Row],[Vertex 2]],GroupVertices[Vertex],0)),1,1,"")</f>
        <v>2</v>
      </c>
      <c r="AE1024" s="105"/>
      <c r="AF1024" s="105"/>
      <c r="AG1024" s="105"/>
      <c r="AH1024" s="105"/>
      <c r="AI1024" s="105"/>
      <c r="AJ1024" s="105"/>
      <c r="AK1024" s="105"/>
      <c r="AL1024" s="105"/>
      <c r="AM1024" s="105"/>
    </row>
    <row r="1025" spans="1:39" ht="15">
      <c r="A1025" s="62" t="s">
        <v>256</v>
      </c>
      <c r="B1025" s="62" t="s">
        <v>254</v>
      </c>
      <c r="C1025" s="63" t="s">
        <v>3606</v>
      </c>
      <c r="D1025" s="64">
        <v>9.473684210526315</v>
      </c>
      <c r="E1025" s="65" t="s">
        <v>136</v>
      </c>
      <c r="F1025" s="66">
        <v>23.660377358490564</v>
      </c>
      <c r="G1025" s="63"/>
      <c r="H1025" s="67"/>
      <c r="I1025" s="68"/>
      <c r="J1025" s="68"/>
      <c r="K1025" s="31" t="s">
        <v>65</v>
      </c>
      <c r="L1025" s="76">
        <v>1025</v>
      </c>
      <c r="M1025" s="76"/>
      <c r="N1025" s="70"/>
      <c r="O1025" s="78" t="s">
        <v>305</v>
      </c>
      <c r="P1025" s="78" t="s">
        <v>370</v>
      </c>
      <c r="Q1025" s="78" t="s">
        <v>937</v>
      </c>
      <c r="R1025" s="78" t="s">
        <v>933</v>
      </c>
      <c r="S1025" s="78"/>
      <c r="T1025" s="78"/>
      <c r="U1025" s="78"/>
      <c r="V1025" s="78"/>
      <c r="W1025" s="81" t="s">
        <v>1674</v>
      </c>
      <c r="X1025" s="81" t="s">
        <v>1674</v>
      </c>
      <c r="Y1025" s="78"/>
      <c r="Z1025" s="78"/>
      <c r="AA1025" s="81" t="s">
        <v>1674</v>
      </c>
      <c r="AB1025" s="79">
        <v>18</v>
      </c>
      <c r="AC1025" s="80" t="str">
        <f>REPLACE(INDEX(GroupVertices[Group],MATCH("~"&amp;Edges[[#This Row],[Vertex 1]],GroupVertices[Vertex],0)),1,1,"")</f>
        <v>1</v>
      </c>
      <c r="AD1025" s="80" t="str">
        <f>REPLACE(INDEX(GroupVertices[Group],MATCH("~"&amp;Edges[[#This Row],[Vertex 2]],GroupVertices[Vertex],0)),1,1,"")</f>
        <v>2</v>
      </c>
      <c r="AE1025" s="105"/>
      <c r="AF1025" s="105"/>
      <c r="AG1025" s="105"/>
      <c r="AH1025" s="105"/>
      <c r="AI1025" s="105"/>
      <c r="AJ1025" s="105"/>
      <c r="AK1025" s="105"/>
      <c r="AL1025" s="105"/>
      <c r="AM1025" s="105"/>
    </row>
    <row r="1026" spans="1:39" ht="15">
      <c r="A1026" s="62" t="s">
        <v>256</v>
      </c>
      <c r="B1026" s="62" t="s">
        <v>254</v>
      </c>
      <c r="C1026" s="63" t="s">
        <v>3606</v>
      </c>
      <c r="D1026" s="64">
        <v>9.473684210526315</v>
      </c>
      <c r="E1026" s="65" t="s">
        <v>136</v>
      </c>
      <c r="F1026" s="66">
        <v>23.660377358490564</v>
      </c>
      <c r="G1026" s="63"/>
      <c r="H1026" s="67"/>
      <c r="I1026" s="68"/>
      <c r="J1026" s="68"/>
      <c r="K1026" s="31" t="s">
        <v>65</v>
      </c>
      <c r="L1026" s="76">
        <v>1026</v>
      </c>
      <c r="M1026" s="76"/>
      <c r="N1026" s="70"/>
      <c r="O1026" s="78" t="s">
        <v>305</v>
      </c>
      <c r="P1026" s="78" t="s">
        <v>370</v>
      </c>
      <c r="Q1026" s="78" t="s">
        <v>937</v>
      </c>
      <c r="R1026" s="78" t="s">
        <v>934</v>
      </c>
      <c r="S1026" s="78"/>
      <c r="T1026" s="78"/>
      <c r="U1026" s="78"/>
      <c r="V1026" s="78"/>
      <c r="W1026" s="81" t="s">
        <v>1674</v>
      </c>
      <c r="X1026" s="81" t="s">
        <v>1674</v>
      </c>
      <c r="Y1026" s="78"/>
      <c r="Z1026" s="78"/>
      <c r="AA1026" s="81" t="s">
        <v>1674</v>
      </c>
      <c r="AB1026" s="79">
        <v>18</v>
      </c>
      <c r="AC1026" s="80" t="str">
        <f>REPLACE(INDEX(GroupVertices[Group],MATCH("~"&amp;Edges[[#This Row],[Vertex 1]],GroupVertices[Vertex],0)),1,1,"")</f>
        <v>1</v>
      </c>
      <c r="AD1026" s="80" t="str">
        <f>REPLACE(INDEX(GroupVertices[Group],MATCH("~"&amp;Edges[[#This Row],[Vertex 2]],GroupVertices[Vertex],0)),1,1,"")</f>
        <v>2</v>
      </c>
      <c r="AE1026" s="105"/>
      <c r="AF1026" s="105"/>
      <c r="AG1026" s="105"/>
      <c r="AH1026" s="105"/>
      <c r="AI1026" s="105"/>
      <c r="AJ1026" s="105"/>
      <c r="AK1026" s="105"/>
      <c r="AL1026" s="105"/>
      <c r="AM1026" s="105"/>
    </row>
    <row r="1027" spans="1:39" ht="15">
      <c r="A1027" s="62" t="s">
        <v>256</v>
      </c>
      <c r="B1027" s="62" t="s">
        <v>254</v>
      </c>
      <c r="C1027" s="63" t="s">
        <v>3606</v>
      </c>
      <c r="D1027" s="64">
        <v>9.473684210526315</v>
      </c>
      <c r="E1027" s="65" t="s">
        <v>136</v>
      </c>
      <c r="F1027" s="66">
        <v>23.660377358490564</v>
      </c>
      <c r="G1027" s="63"/>
      <c r="H1027" s="67"/>
      <c r="I1027" s="68"/>
      <c r="J1027" s="68"/>
      <c r="K1027" s="31" t="s">
        <v>65</v>
      </c>
      <c r="L1027" s="76">
        <v>1027</v>
      </c>
      <c r="M1027" s="76"/>
      <c r="N1027" s="70"/>
      <c r="O1027" s="78" t="s">
        <v>305</v>
      </c>
      <c r="P1027" s="78" t="s">
        <v>363</v>
      </c>
      <c r="Q1027" s="78" t="s">
        <v>733</v>
      </c>
      <c r="R1027" s="78" t="s">
        <v>728</v>
      </c>
      <c r="S1027" s="78"/>
      <c r="T1027" s="78"/>
      <c r="U1027" s="78"/>
      <c r="V1027" s="78"/>
      <c r="W1027" s="81" t="s">
        <v>1674</v>
      </c>
      <c r="X1027" s="81" t="s">
        <v>1674</v>
      </c>
      <c r="Y1027" s="78"/>
      <c r="Z1027" s="78"/>
      <c r="AA1027" s="81" t="s">
        <v>1674</v>
      </c>
      <c r="AB1027" s="79">
        <v>18</v>
      </c>
      <c r="AC1027" s="80" t="str">
        <f>REPLACE(INDEX(GroupVertices[Group],MATCH("~"&amp;Edges[[#This Row],[Vertex 1]],GroupVertices[Vertex],0)),1,1,"")</f>
        <v>1</v>
      </c>
      <c r="AD1027" s="80" t="str">
        <f>REPLACE(INDEX(GroupVertices[Group],MATCH("~"&amp;Edges[[#This Row],[Vertex 2]],GroupVertices[Vertex],0)),1,1,"")</f>
        <v>2</v>
      </c>
      <c r="AE1027" s="105"/>
      <c r="AF1027" s="105"/>
      <c r="AG1027" s="105"/>
      <c r="AH1027" s="105"/>
      <c r="AI1027" s="105"/>
      <c r="AJ1027" s="105"/>
      <c r="AK1027" s="105"/>
      <c r="AL1027" s="105"/>
      <c r="AM1027" s="105"/>
    </row>
    <row r="1028" spans="1:39" ht="15">
      <c r="A1028" s="62" t="s">
        <v>256</v>
      </c>
      <c r="B1028" s="62" t="s">
        <v>254</v>
      </c>
      <c r="C1028" s="63" t="s">
        <v>3606</v>
      </c>
      <c r="D1028" s="64">
        <v>9.473684210526315</v>
      </c>
      <c r="E1028" s="65" t="s">
        <v>136</v>
      </c>
      <c r="F1028" s="66">
        <v>23.660377358490564</v>
      </c>
      <c r="G1028" s="63"/>
      <c r="H1028" s="67"/>
      <c r="I1028" s="68"/>
      <c r="J1028" s="68"/>
      <c r="K1028" s="31" t="s">
        <v>65</v>
      </c>
      <c r="L1028" s="76">
        <v>1028</v>
      </c>
      <c r="M1028" s="76"/>
      <c r="N1028" s="70"/>
      <c r="O1028" s="78" t="s">
        <v>305</v>
      </c>
      <c r="P1028" s="78" t="s">
        <v>536</v>
      </c>
      <c r="Q1028" s="78" t="s">
        <v>1059</v>
      </c>
      <c r="R1028" s="78" t="s">
        <v>1055</v>
      </c>
      <c r="S1028" s="78"/>
      <c r="T1028" s="78"/>
      <c r="U1028" s="78"/>
      <c r="V1028" s="78"/>
      <c r="W1028" s="81" t="s">
        <v>1674</v>
      </c>
      <c r="X1028" s="81" t="s">
        <v>1674</v>
      </c>
      <c r="Y1028" s="78"/>
      <c r="Z1028" s="78"/>
      <c r="AA1028" s="81" t="s">
        <v>1674</v>
      </c>
      <c r="AB1028" s="79">
        <v>18</v>
      </c>
      <c r="AC1028" s="80" t="str">
        <f>REPLACE(INDEX(GroupVertices[Group],MATCH("~"&amp;Edges[[#This Row],[Vertex 1]],GroupVertices[Vertex],0)),1,1,"")</f>
        <v>1</v>
      </c>
      <c r="AD1028" s="80" t="str">
        <f>REPLACE(INDEX(GroupVertices[Group],MATCH("~"&amp;Edges[[#This Row],[Vertex 2]],GroupVertices[Vertex],0)),1,1,"")</f>
        <v>2</v>
      </c>
      <c r="AE1028" s="105"/>
      <c r="AF1028" s="105"/>
      <c r="AG1028" s="105"/>
      <c r="AH1028" s="105"/>
      <c r="AI1028" s="105"/>
      <c r="AJ1028" s="105"/>
      <c r="AK1028" s="105"/>
      <c r="AL1028" s="105"/>
      <c r="AM1028" s="105"/>
    </row>
    <row r="1029" spans="1:39" ht="15">
      <c r="A1029" s="62" t="s">
        <v>256</v>
      </c>
      <c r="B1029" s="62" t="s">
        <v>254</v>
      </c>
      <c r="C1029" s="63" t="s">
        <v>3606</v>
      </c>
      <c r="D1029" s="64">
        <v>9.473684210526315</v>
      </c>
      <c r="E1029" s="65" t="s">
        <v>136</v>
      </c>
      <c r="F1029" s="66">
        <v>23.660377358490564</v>
      </c>
      <c r="G1029" s="63"/>
      <c r="H1029" s="67"/>
      <c r="I1029" s="68"/>
      <c r="J1029" s="68"/>
      <c r="K1029" s="31" t="s">
        <v>65</v>
      </c>
      <c r="L1029" s="76">
        <v>1029</v>
      </c>
      <c r="M1029" s="76"/>
      <c r="N1029" s="70"/>
      <c r="O1029" s="78" t="s">
        <v>305</v>
      </c>
      <c r="P1029" s="78" t="s">
        <v>598</v>
      </c>
      <c r="Q1029" s="78" t="s">
        <v>1164</v>
      </c>
      <c r="R1029" s="78" t="s">
        <v>1589</v>
      </c>
      <c r="S1029" s="78"/>
      <c r="T1029" s="78"/>
      <c r="U1029" s="78"/>
      <c r="V1029" s="78"/>
      <c r="W1029" s="81" t="s">
        <v>1674</v>
      </c>
      <c r="X1029" s="81" t="s">
        <v>1674</v>
      </c>
      <c r="Y1029" s="78"/>
      <c r="Z1029" s="78"/>
      <c r="AA1029" s="81" t="s">
        <v>1674</v>
      </c>
      <c r="AB1029" s="79">
        <v>18</v>
      </c>
      <c r="AC1029" s="80" t="str">
        <f>REPLACE(INDEX(GroupVertices[Group],MATCH("~"&amp;Edges[[#This Row],[Vertex 1]],GroupVertices[Vertex],0)),1,1,"")</f>
        <v>1</v>
      </c>
      <c r="AD1029" s="80" t="str">
        <f>REPLACE(INDEX(GroupVertices[Group],MATCH("~"&amp;Edges[[#This Row],[Vertex 2]],GroupVertices[Vertex],0)),1,1,"")</f>
        <v>2</v>
      </c>
      <c r="AE1029" s="105"/>
      <c r="AF1029" s="105"/>
      <c r="AG1029" s="105"/>
      <c r="AH1029" s="105"/>
      <c r="AI1029" s="105"/>
      <c r="AJ1029" s="105"/>
      <c r="AK1029" s="105"/>
      <c r="AL1029" s="105"/>
      <c r="AM1029" s="105"/>
    </row>
    <row r="1030" spans="1:39" ht="15">
      <c r="A1030" s="62" t="s">
        <v>256</v>
      </c>
      <c r="B1030" s="62" t="s">
        <v>254</v>
      </c>
      <c r="C1030" s="63" t="s">
        <v>3606</v>
      </c>
      <c r="D1030" s="64">
        <v>9.473684210526315</v>
      </c>
      <c r="E1030" s="65" t="s">
        <v>136</v>
      </c>
      <c r="F1030" s="66">
        <v>23.660377358490564</v>
      </c>
      <c r="G1030" s="63"/>
      <c r="H1030" s="67"/>
      <c r="I1030" s="68"/>
      <c r="J1030" s="68"/>
      <c r="K1030" s="31" t="s">
        <v>65</v>
      </c>
      <c r="L1030" s="76">
        <v>1030</v>
      </c>
      <c r="M1030" s="76"/>
      <c r="N1030" s="70"/>
      <c r="O1030" s="78" t="s">
        <v>305</v>
      </c>
      <c r="P1030" s="78" t="s">
        <v>587</v>
      </c>
      <c r="Q1030" s="78" t="s">
        <v>1153</v>
      </c>
      <c r="R1030" s="78" t="s">
        <v>1149</v>
      </c>
      <c r="S1030" s="78"/>
      <c r="T1030" s="78"/>
      <c r="U1030" s="78"/>
      <c r="V1030" s="78"/>
      <c r="W1030" s="81" t="s">
        <v>1674</v>
      </c>
      <c r="X1030" s="81" t="s">
        <v>1674</v>
      </c>
      <c r="Y1030" s="78"/>
      <c r="Z1030" s="78"/>
      <c r="AA1030" s="81" t="s">
        <v>1674</v>
      </c>
      <c r="AB1030" s="79">
        <v>18</v>
      </c>
      <c r="AC1030" s="80" t="str">
        <f>REPLACE(INDEX(GroupVertices[Group],MATCH("~"&amp;Edges[[#This Row],[Vertex 1]],GroupVertices[Vertex],0)),1,1,"")</f>
        <v>1</v>
      </c>
      <c r="AD1030" s="80" t="str">
        <f>REPLACE(INDEX(GroupVertices[Group],MATCH("~"&amp;Edges[[#This Row],[Vertex 2]],GroupVertices[Vertex],0)),1,1,"")</f>
        <v>2</v>
      </c>
      <c r="AE1030" s="105"/>
      <c r="AF1030" s="105"/>
      <c r="AG1030" s="105"/>
      <c r="AH1030" s="105"/>
      <c r="AI1030" s="105"/>
      <c r="AJ1030" s="105"/>
      <c r="AK1030" s="105"/>
      <c r="AL1030" s="105"/>
      <c r="AM1030" s="105"/>
    </row>
    <row r="1031" spans="1:39" ht="15">
      <c r="A1031" s="62" t="s">
        <v>258</v>
      </c>
      <c r="B1031" s="62" t="s">
        <v>254</v>
      </c>
      <c r="C1031" s="63" t="s">
        <v>3598</v>
      </c>
      <c r="D1031" s="64">
        <v>5</v>
      </c>
      <c r="E1031" s="65" t="s">
        <v>132</v>
      </c>
      <c r="F1031" s="66">
        <v>32</v>
      </c>
      <c r="G1031" s="63"/>
      <c r="H1031" s="67"/>
      <c r="I1031" s="68"/>
      <c r="J1031" s="68"/>
      <c r="K1031" s="31" t="s">
        <v>65</v>
      </c>
      <c r="L1031" s="76">
        <v>1031</v>
      </c>
      <c r="M1031" s="76"/>
      <c r="N1031" s="70"/>
      <c r="O1031" s="78" t="s">
        <v>305</v>
      </c>
      <c r="P1031" s="78" t="s">
        <v>582</v>
      </c>
      <c r="Q1031" s="78" t="s">
        <v>1140</v>
      </c>
      <c r="R1031" s="78" t="s">
        <v>1138</v>
      </c>
      <c r="S1031" s="78"/>
      <c r="T1031" s="78"/>
      <c r="U1031" s="78"/>
      <c r="V1031" s="78"/>
      <c r="W1031" s="81" t="s">
        <v>1674</v>
      </c>
      <c r="X1031" s="81" t="s">
        <v>1674</v>
      </c>
      <c r="Y1031" s="78"/>
      <c r="Z1031" s="78"/>
      <c r="AA1031" s="81" t="s">
        <v>1674</v>
      </c>
      <c r="AB1031" s="79">
        <v>1</v>
      </c>
      <c r="AC1031" s="80" t="str">
        <f>REPLACE(INDEX(GroupVertices[Group],MATCH("~"&amp;Edges[[#This Row],[Vertex 1]],GroupVertices[Vertex],0)),1,1,"")</f>
        <v>1</v>
      </c>
      <c r="AD1031" s="80" t="str">
        <f>REPLACE(INDEX(GroupVertices[Group],MATCH("~"&amp;Edges[[#This Row],[Vertex 2]],GroupVertices[Vertex],0)),1,1,"")</f>
        <v>2</v>
      </c>
      <c r="AE1031" s="105"/>
      <c r="AF1031" s="105"/>
      <c r="AG1031" s="105"/>
      <c r="AH1031" s="105"/>
      <c r="AI1031" s="105"/>
      <c r="AJ1031" s="105"/>
      <c r="AK1031" s="105"/>
      <c r="AL1031" s="105"/>
      <c r="AM1031" s="105"/>
    </row>
    <row r="1032" spans="1:39" ht="15">
      <c r="A1032" s="62" t="s">
        <v>247</v>
      </c>
      <c r="B1032" s="62" t="s">
        <v>254</v>
      </c>
      <c r="C1032" s="63" t="s">
        <v>3598</v>
      </c>
      <c r="D1032" s="64">
        <v>5</v>
      </c>
      <c r="E1032" s="65" t="s">
        <v>132</v>
      </c>
      <c r="F1032" s="66">
        <v>32</v>
      </c>
      <c r="G1032" s="63"/>
      <c r="H1032" s="67"/>
      <c r="I1032" s="68"/>
      <c r="J1032" s="68"/>
      <c r="K1032" s="31" t="s">
        <v>65</v>
      </c>
      <c r="L1032" s="76">
        <v>1032</v>
      </c>
      <c r="M1032" s="76"/>
      <c r="N1032" s="70"/>
      <c r="O1032" s="78" t="s">
        <v>305</v>
      </c>
      <c r="P1032" s="78" t="s">
        <v>599</v>
      </c>
      <c r="Q1032" s="78" t="s">
        <v>1165</v>
      </c>
      <c r="R1032" s="78" t="s">
        <v>1590</v>
      </c>
      <c r="S1032" s="78"/>
      <c r="T1032" s="78"/>
      <c r="U1032" s="78"/>
      <c r="V1032" s="78"/>
      <c r="W1032" s="81" t="s">
        <v>1674</v>
      </c>
      <c r="X1032" s="81" t="s">
        <v>1674</v>
      </c>
      <c r="Y1032" s="78"/>
      <c r="Z1032" s="78"/>
      <c r="AA1032" s="81" t="s">
        <v>1674</v>
      </c>
      <c r="AB1032" s="79">
        <v>1</v>
      </c>
      <c r="AC1032" s="80" t="str">
        <f>REPLACE(INDEX(GroupVertices[Group],MATCH("~"&amp;Edges[[#This Row],[Vertex 1]],GroupVertices[Vertex],0)),1,1,"")</f>
        <v>2</v>
      </c>
      <c r="AD1032" s="80" t="str">
        <f>REPLACE(INDEX(GroupVertices[Group],MATCH("~"&amp;Edges[[#This Row],[Vertex 2]],GroupVertices[Vertex],0)),1,1,"")</f>
        <v>2</v>
      </c>
      <c r="AE1032" s="105"/>
      <c r="AF1032" s="105"/>
      <c r="AG1032" s="105"/>
      <c r="AH1032" s="105"/>
      <c r="AI1032" s="105"/>
      <c r="AJ1032" s="105"/>
      <c r="AK1032" s="105"/>
      <c r="AL1032" s="105"/>
      <c r="AM1032" s="105"/>
    </row>
    <row r="1033" spans="1:39" ht="15">
      <c r="A1033" s="62" t="s">
        <v>260</v>
      </c>
      <c r="B1033" s="62" t="s">
        <v>254</v>
      </c>
      <c r="C1033" s="63" t="s">
        <v>3599</v>
      </c>
      <c r="D1033" s="64">
        <v>6.315789473684211</v>
      </c>
      <c r="E1033" s="65" t="s">
        <v>136</v>
      </c>
      <c r="F1033" s="66">
        <v>29.547169811320757</v>
      </c>
      <c r="G1033" s="63"/>
      <c r="H1033" s="67"/>
      <c r="I1033" s="68"/>
      <c r="J1033" s="68"/>
      <c r="K1033" s="31" t="s">
        <v>65</v>
      </c>
      <c r="L1033" s="76">
        <v>1033</v>
      </c>
      <c r="M1033" s="76"/>
      <c r="N1033" s="70"/>
      <c r="O1033" s="78" t="s">
        <v>305</v>
      </c>
      <c r="P1033" s="78" t="s">
        <v>594</v>
      </c>
      <c r="Q1033" s="78" t="s">
        <v>1166</v>
      </c>
      <c r="R1033" s="78" t="s">
        <v>1160</v>
      </c>
      <c r="S1033" s="78"/>
      <c r="T1033" s="78"/>
      <c r="U1033" s="78"/>
      <c r="V1033" s="78"/>
      <c r="W1033" s="81" t="s">
        <v>1674</v>
      </c>
      <c r="X1033" s="81" t="s">
        <v>1674</v>
      </c>
      <c r="Y1033" s="78"/>
      <c r="Z1033" s="78"/>
      <c r="AA1033" s="81" t="s">
        <v>1674</v>
      </c>
      <c r="AB1033" s="79">
        <v>6</v>
      </c>
      <c r="AC1033" s="80" t="str">
        <f>REPLACE(INDEX(GroupVertices[Group],MATCH("~"&amp;Edges[[#This Row],[Vertex 1]],GroupVertices[Vertex],0)),1,1,"")</f>
        <v>1</v>
      </c>
      <c r="AD1033" s="80" t="str">
        <f>REPLACE(INDEX(GroupVertices[Group],MATCH("~"&amp;Edges[[#This Row],[Vertex 2]],GroupVertices[Vertex],0)),1,1,"")</f>
        <v>2</v>
      </c>
      <c r="AE1033" s="105"/>
      <c r="AF1033" s="105"/>
      <c r="AG1033" s="105"/>
      <c r="AH1033" s="105"/>
      <c r="AI1033" s="105"/>
      <c r="AJ1033" s="105"/>
      <c r="AK1033" s="105"/>
      <c r="AL1033" s="105"/>
      <c r="AM1033" s="105"/>
    </row>
    <row r="1034" spans="1:39" ht="15">
      <c r="A1034" s="62" t="s">
        <v>260</v>
      </c>
      <c r="B1034" s="62" t="s">
        <v>254</v>
      </c>
      <c r="C1034" s="63" t="s">
        <v>3599</v>
      </c>
      <c r="D1034" s="64">
        <v>6.315789473684211</v>
      </c>
      <c r="E1034" s="65" t="s">
        <v>136</v>
      </c>
      <c r="F1034" s="66">
        <v>29.547169811320757</v>
      </c>
      <c r="G1034" s="63"/>
      <c r="H1034" s="67"/>
      <c r="I1034" s="68"/>
      <c r="J1034" s="68"/>
      <c r="K1034" s="31" t="s">
        <v>65</v>
      </c>
      <c r="L1034" s="76">
        <v>1034</v>
      </c>
      <c r="M1034" s="76"/>
      <c r="N1034" s="70"/>
      <c r="O1034" s="78" t="s">
        <v>305</v>
      </c>
      <c r="P1034" s="78" t="s">
        <v>406</v>
      </c>
      <c r="Q1034" s="78" t="s">
        <v>825</v>
      </c>
      <c r="R1034" s="78" t="s">
        <v>820</v>
      </c>
      <c r="S1034" s="78"/>
      <c r="T1034" s="78"/>
      <c r="U1034" s="78"/>
      <c r="V1034" s="78"/>
      <c r="W1034" s="81" t="s">
        <v>1674</v>
      </c>
      <c r="X1034" s="81" t="s">
        <v>1674</v>
      </c>
      <c r="Y1034" s="78"/>
      <c r="Z1034" s="78"/>
      <c r="AA1034" s="81" t="s">
        <v>1674</v>
      </c>
      <c r="AB1034" s="79">
        <v>6</v>
      </c>
      <c r="AC1034" s="80" t="str">
        <f>REPLACE(INDEX(GroupVertices[Group],MATCH("~"&amp;Edges[[#This Row],[Vertex 1]],GroupVertices[Vertex],0)),1,1,"")</f>
        <v>1</v>
      </c>
      <c r="AD1034" s="80" t="str">
        <f>REPLACE(INDEX(GroupVertices[Group],MATCH("~"&amp;Edges[[#This Row],[Vertex 2]],GroupVertices[Vertex],0)),1,1,"")</f>
        <v>2</v>
      </c>
      <c r="AE1034" s="105"/>
      <c r="AF1034" s="105"/>
      <c r="AG1034" s="105"/>
      <c r="AH1034" s="105"/>
      <c r="AI1034" s="105"/>
      <c r="AJ1034" s="105"/>
      <c r="AK1034" s="105"/>
      <c r="AL1034" s="105"/>
      <c r="AM1034" s="105"/>
    </row>
    <row r="1035" spans="1:39" ht="15">
      <c r="A1035" s="62" t="s">
        <v>260</v>
      </c>
      <c r="B1035" s="62" t="s">
        <v>254</v>
      </c>
      <c r="C1035" s="63" t="s">
        <v>3599</v>
      </c>
      <c r="D1035" s="64">
        <v>6.315789473684211</v>
      </c>
      <c r="E1035" s="65" t="s">
        <v>136</v>
      </c>
      <c r="F1035" s="66">
        <v>29.547169811320757</v>
      </c>
      <c r="G1035" s="63"/>
      <c r="H1035" s="67"/>
      <c r="I1035" s="68"/>
      <c r="J1035" s="68"/>
      <c r="K1035" s="31" t="s">
        <v>65</v>
      </c>
      <c r="L1035" s="76">
        <v>1035</v>
      </c>
      <c r="M1035" s="76"/>
      <c r="N1035" s="70"/>
      <c r="O1035" s="78" t="s">
        <v>305</v>
      </c>
      <c r="P1035" s="78" t="s">
        <v>406</v>
      </c>
      <c r="Q1035" s="78" t="s">
        <v>825</v>
      </c>
      <c r="R1035" s="78" t="s">
        <v>822</v>
      </c>
      <c r="S1035" s="78"/>
      <c r="T1035" s="78"/>
      <c r="U1035" s="78"/>
      <c r="V1035" s="78"/>
      <c r="W1035" s="81" t="s">
        <v>1674</v>
      </c>
      <c r="X1035" s="81" t="s">
        <v>1674</v>
      </c>
      <c r="Y1035" s="78"/>
      <c r="Z1035" s="78"/>
      <c r="AA1035" s="81" t="s">
        <v>1674</v>
      </c>
      <c r="AB1035" s="79">
        <v>6</v>
      </c>
      <c r="AC1035" s="80" t="str">
        <f>REPLACE(INDEX(GroupVertices[Group],MATCH("~"&amp;Edges[[#This Row],[Vertex 1]],GroupVertices[Vertex],0)),1,1,"")</f>
        <v>1</v>
      </c>
      <c r="AD1035" s="80" t="str">
        <f>REPLACE(INDEX(GroupVertices[Group],MATCH("~"&amp;Edges[[#This Row],[Vertex 2]],GroupVertices[Vertex],0)),1,1,"")</f>
        <v>2</v>
      </c>
      <c r="AE1035" s="105"/>
      <c r="AF1035" s="105"/>
      <c r="AG1035" s="105"/>
      <c r="AH1035" s="105"/>
      <c r="AI1035" s="105"/>
      <c r="AJ1035" s="105"/>
      <c r="AK1035" s="105"/>
      <c r="AL1035" s="105"/>
      <c r="AM1035" s="105"/>
    </row>
    <row r="1036" spans="1:39" ht="15">
      <c r="A1036" s="62" t="s">
        <v>260</v>
      </c>
      <c r="B1036" s="62" t="s">
        <v>254</v>
      </c>
      <c r="C1036" s="63" t="s">
        <v>3599</v>
      </c>
      <c r="D1036" s="64">
        <v>6.315789473684211</v>
      </c>
      <c r="E1036" s="65" t="s">
        <v>136</v>
      </c>
      <c r="F1036" s="66">
        <v>29.547169811320757</v>
      </c>
      <c r="G1036" s="63"/>
      <c r="H1036" s="67"/>
      <c r="I1036" s="68"/>
      <c r="J1036" s="68"/>
      <c r="K1036" s="31" t="s">
        <v>65</v>
      </c>
      <c r="L1036" s="76">
        <v>1036</v>
      </c>
      <c r="M1036" s="76"/>
      <c r="N1036" s="70"/>
      <c r="O1036" s="78" t="s">
        <v>305</v>
      </c>
      <c r="P1036" s="78" t="s">
        <v>370</v>
      </c>
      <c r="Q1036" s="78" t="s">
        <v>789</v>
      </c>
      <c r="R1036" s="78" t="s">
        <v>930</v>
      </c>
      <c r="S1036" s="78"/>
      <c r="T1036" s="78"/>
      <c r="U1036" s="78"/>
      <c r="V1036" s="78"/>
      <c r="W1036" s="81" t="s">
        <v>1674</v>
      </c>
      <c r="X1036" s="81" t="s">
        <v>1674</v>
      </c>
      <c r="Y1036" s="78"/>
      <c r="Z1036" s="78"/>
      <c r="AA1036" s="81" t="s">
        <v>1674</v>
      </c>
      <c r="AB1036" s="79">
        <v>6</v>
      </c>
      <c r="AC1036" s="80" t="str">
        <f>REPLACE(INDEX(GroupVertices[Group],MATCH("~"&amp;Edges[[#This Row],[Vertex 1]],GroupVertices[Vertex],0)),1,1,"")</f>
        <v>1</v>
      </c>
      <c r="AD1036" s="80" t="str">
        <f>REPLACE(INDEX(GroupVertices[Group],MATCH("~"&amp;Edges[[#This Row],[Vertex 2]],GroupVertices[Vertex],0)),1,1,"")</f>
        <v>2</v>
      </c>
      <c r="AE1036" s="105"/>
      <c r="AF1036" s="105"/>
      <c r="AG1036" s="105"/>
      <c r="AH1036" s="105"/>
      <c r="AI1036" s="105"/>
      <c r="AJ1036" s="105"/>
      <c r="AK1036" s="105"/>
      <c r="AL1036" s="105"/>
      <c r="AM1036" s="105"/>
    </row>
    <row r="1037" spans="1:39" ht="15">
      <c r="A1037" s="62" t="s">
        <v>260</v>
      </c>
      <c r="B1037" s="62" t="s">
        <v>254</v>
      </c>
      <c r="C1037" s="63" t="s">
        <v>3599</v>
      </c>
      <c r="D1037" s="64">
        <v>6.315789473684211</v>
      </c>
      <c r="E1037" s="65" t="s">
        <v>136</v>
      </c>
      <c r="F1037" s="66">
        <v>29.547169811320757</v>
      </c>
      <c r="G1037" s="63"/>
      <c r="H1037" s="67"/>
      <c r="I1037" s="68"/>
      <c r="J1037" s="68"/>
      <c r="K1037" s="31" t="s">
        <v>65</v>
      </c>
      <c r="L1037" s="76">
        <v>1037</v>
      </c>
      <c r="M1037" s="76"/>
      <c r="N1037" s="70"/>
      <c r="O1037" s="78" t="s">
        <v>305</v>
      </c>
      <c r="P1037" s="78" t="s">
        <v>370</v>
      </c>
      <c r="Q1037" s="78" t="s">
        <v>789</v>
      </c>
      <c r="R1037" s="78" t="s">
        <v>933</v>
      </c>
      <c r="S1037" s="78"/>
      <c r="T1037" s="78"/>
      <c r="U1037" s="78"/>
      <c r="V1037" s="78"/>
      <c r="W1037" s="81" t="s">
        <v>1674</v>
      </c>
      <c r="X1037" s="81" t="s">
        <v>1674</v>
      </c>
      <c r="Y1037" s="78"/>
      <c r="Z1037" s="78"/>
      <c r="AA1037" s="81" t="s">
        <v>1674</v>
      </c>
      <c r="AB1037" s="79">
        <v>6</v>
      </c>
      <c r="AC1037" s="80" t="str">
        <f>REPLACE(INDEX(GroupVertices[Group],MATCH("~"&amp;Edges[[#This Row],[Vertex 1]],GroupVertices[Vertex],0)),1,1,"")</f>
        <v>1</v>
      </c>
      <c r="AD1037" s="80" t="str">
        <f>REPLACE(INDEX(GroupVertices[Group],MATCH("~"&amp;Edges[[#This Row],[Vertex 2]],GroupVertices[Vertex],0)),1,1,"")</f>
        <v>2</v>
      </c>
      <c r="AE1037" s="105"/>
      <c r="AF1037" s="105"/>
      <c r="AG1037" s="105"/>
      <c r="AH1037" s="105"/>
      <c r="AI1037" s="105"/>
      <c r="AJ1037" s="105"/>
      <c r="AK1037" s="105"/>
      <c r="AL1037" s="105"/>
      <c r="AM1037" s="105"/>
    </row>
    <row r="1038" spans="1:39" ht="15">
      <c r="A1038" s="62" t="s">
        <v>260</v>
      </c>
      <c r="B1038" s="62" t="s">
        <v>254</v>
      </c>
      <c r="C1038" s="63" t="s">
        <v>3599</v>
      </c>
      <c r="D1038" s="64">
        <v>6.315789473684211</v>
      </c>
      <c r="E1038" s="65" t="s">
        <v>136</v>
      </c>
      <c r="F1038" s="66">
        <v>29.547169811320757</v>
      </c>
      <c r="G1038" s="63"/>
      <c r="H1038" s="67"/>
      <c r="I1038" s="68"/>
      <c r="J1038" s="68"/>
      <c r="K1038" s="31" t="s">
        <v>65</v>
      </c>
      <c r="L1038" s="76">
        <v>1038</v>
      </c>
      <c r="M1038" s="76"/>
      <c r="N1038" s="70"/>
      <c r="O1038" s="78" t="s">
        <v>305</v>
      </c>
      <c r="P1038" s="78" t="s">
        <v>370</v>
      </c>
      <c r="Q1038" s="78" t="s">
        <v>789</v>
      </c>
      <c r="R1038" s="78" t="s">
        <v>934</v>
      </c>
      <c r="S1038" s="78"/>
      <c r="T1038" s="78"/>
      <c r="U1038" s="78"/>
      <c r="V1038" s="78"/>
      <c r="W1038" s="81" t="s">
        <v>1674</v>
      </c>
      <c r="X1038" s="81" t="s">
        <v>1674</v>
      </c>
      <c r="Y1038" s="78"/>
      <c r="Z1038" s="78"/>
      <c r="AA1038" s="81" t="s">
        <v>1674</v>
      </c>
      <c r="AB1038" s="79">
        <v>6</v>
      </c>
      <c r="AC1038" s="80" t="str">
        <f>REPLACE(INDEX(GroupVertices[Group],MATCH("~"&amp;Edges[[#This Row],[Vertex 1]],GroupVertices[Vertex],0)),1,1,"")</f>
        <v>1</v>
      </c>
      <c r="AD1038" s="80" t="str">
        <f>REPLACE(INDEX(GroupVertices[Group],MATCH("~"&amp;Edges[[#This Row],[Vertex 2]],GroupVertices[Vertex],0)),1,1,"")</f>
        <v>2</v>
      </c>
      <c r="AE1038" s="105"/>
      <c r="AF1038" s="105"/>
      <c r="AG1038" s="105"/>
      <c r="AH1038" s="105"/>
      <c r="AI1038" s="105"/>
      <c r="AJ1038" s="105"/>
      <c r="AK1038" s="105"/>
      <c r="AL1038" s="105"/>
      <c r="AM1038" s="105"/>
    </row>
    <row r="1039" spans="1:39" ht="15">
      <c r="A1039" s="62" t="s">
        <v>266</v>
      </c>
      <c r="B1039" s="62" t="s">
        <v>254</v>
      </c>
      <c r="C1039" s="63" t="s">
        <v>3598</v>
      </c>
      <c r="D1039" s="64">
        <v>5</v>
      </c>
      <c r="E1039" s="65" t="s">
        <v>132</v>
      </c>
      <c r="F1039" s="66">
        <v>32</v>
      </c>
      <c r="G1039" s="63"/>
      <c r="H1039" s="67"/>
      <c r="I1039" s="68"/>
      <c r="J1039" s="68"/>
      <c r="K1039" s="31" t="s">
        <v>65</v>
      </c>
      <c r="L1039" s="76">
        <v>1039</v>
      </c>
      <c r="M1039" s="76"/>
      <c r="N1039" s="70"/>
      <c r="O1039" s="78" t="s">
        <v>305</v>
      </c>
      <c r="P1039" s="78" t="s">
        <v>380</v>
      </c>
      <c r="Q1039" s="78" t="s">
        <v>790</v>
      </c>
      <c r="R1039" s="78" t="s">
        <v>1333</v>
      </c>
      <c r="S1039" s="78"/>
      <c r="T1039" s="78"/>
      <c r="U1039" s="78"/>
      <c r="V1039" s="78"/>
      <c r="W1039" s="81" t="s">
        <v>1674</v>
      </c>
      <c r="X1039" s="81" t="s">
        <v>1674</v>
      </c>
      <c r="Y1039" s="78"/>
      <c r="Z1039" s="78"/>
      <c r="AA1039" s="81" t="s">
        <v>1674</v>
      </c>
      <c r="AB1039" s="79">
        <v>1</v>
      </c>
      <c r="AC1039" s="80" t="str">
        <f>REPLACE(INDEX(GroupVertices[Group],MATCH("~"&amp;Edges[[#This Row],[Vertex 1]],GroupVertices[Vertex],0)),1,1,"")</f>
        <v>1</v>
      </c>
      <c r="AD1039" s="80" t="str">
        <f>REPLACE(INDEX(GroupVertices[Group],MATCH("~"&amp;Edges[[#This Row],[Vertex 2]],GroupVertices[Vertex],0)),1,1,"")</f>
        <v>2</v>
      </c>
      <c r="AE1039" s="105"/>
      <c r="AF1039" s="105"/>
      <c r="AG1039" s="105"/>
      <c r="AH1039" s="105"/>
      <c r="AI1039" s="105"/>
      <c r="AJ1039" s="105"/>
      <c r="AK1039" s="105"/>
      <c r="AL1039" s="105"/>
      <c r="AM1039" s="105"/>
    </row>
    <row r="1040" spans="1:39" ht="15">
      <c r="A1040" s="62" t="s">
        <v>280</v>
      </c>
      <c r="B1040" s="62" t="s">
        <v>254</v>
      </c>
      <c r="C1040" s="63" t="s">
        <v>3598</v>
      </c>
      <c r="D1040" s="64">
        <v>5</v>
      </c>
      <c r="E1040" s="65" t="s">
        <v>132</v>
      </c>
      <c r="F1040" s="66">
        <v>32</v>
      </c>
      <c r="G1040" s="63"/>
      <c r="H1040" s="67"/>
      <c r="I1040" s="68"/>
      <c r="J1040" s="68"/>
      <c r="K1040" s="31" t="s">
        <v>65</v>
      </c>
      <c r="L1040" s="76">
        <v>1040</v>
      </c>
      <c r="M1040" s="76"/>
      <c r="N1040" s="70"/>
      <c r="O1040" s="78" t="s">
        <v>305</v>
      </c>
      <c r="P1040" s="78" t="s">
        <v>582</v>
      </c>
      <c r="Q1040" s="78" t="s">
        <v>1142</v>
      </c>
      <c r="R1040" s="78" t="s">
        <v>1138</v>
      </c>
      <c r="S1040" s="78"/>
      <c r="T1040" s="78"/>
      <c r="U1040" s="78"/>
      <c r="V1040" s="78"/>
      <c r="W1040" s="81" t="s">
        <v>1674</v>
      </c>
      <c r="X1040" s="81" t="s">
        <v>1674</v>
      </c>
      <c r="Y1040" s="78"/>
      <c r="Z1040" s="78"/>
      <c r="AA1040" s="81" t="s">
        <v>1674</v>
      </c>
      <c r="AB1040" s="79">
        <v>1</v>
      </c>
      <c r="AC1040" s="80" t="str">
        <f>REPLACE(INDEX(GroupVertices[Group],MATCH("~"&amp;Edges[[#This Row],[Vertex 1]],GroupVertices[Vertex],0)),1,1,"")</f>
        <v>3</v>
      </c>
      <c r="AD1040" s="80" t="str">
        <f>REPLACE(INDEX(GroupVertices[Group],MATCH("~"&amp;Edges[[#This Row],[Vertex 2]],GroupVertices[Vertex],0)),1,1,"")</f>
        <v>2</v>
      </c>
      <c r="AE1040" s="105"/>
      <c r="AF1040" s="105"/>
      <c r="AG1040" s="105"/>
      <c r="AH1040" s="105"/>
      <c r="AI1040" s="105"/>
      <c r="AJ1040" s="105"/>
      <c r="AK1040" s="105"/>
      <c r="AL1040" s="105"/>
      <c r="AM1040" s="105"/>
    </row>
    <row r="1041" spans="1:39" ht="15">
      <c r="A1041" s="62" t="s">
        <v>287</v>
      </c>
      <c r="B1041" s="62" t="s">
        <v>254</v>
      </c>
      <c r="C1041" s="63" t="s">
        <v>3598</v>
      </c>
      <c r="D1041" s="64">
        <v>5</v>
      </c>
      <c r="E1041" s="65" t="s">
        <v>132</v>
      </c>
      <c r="F1041" s="66">
        <v>32</v>
      </c>
      <c r="G1041" s="63"/>
      <c r="H1041" s="67"/>
      <c r="I1041" s="68"/>
      <c r="J1041" s="68"/>
      <c r="K1041" s="31" t="s">
        <v>65</v>
      </c>
      <c r="L1041" s="76">
        <v>1041</v>
      </c>
      <c r="M1041" s="76"/>
      <c r="N1041" s="70"/>
      <c r="O1041" s="78" t="s">
        <v>305</v>
      </c>
      <c r="P1041" s="78" t="s">
        <v>587</v>
      </c>
      <c r="Q1041" s="78" t="s">
        <v>1154</v>
      </c>
      <c r="R1041" s="78" t="s">
        <v>1149</v>
      </c>
      <c r="S1041" s="78"/>
      <c r="T1041" s="78"/>
      <c r="U1041" s="78"/>
      <c r="V1041" s="78"/>
      <c r="W1041" s="81" t="s">
        <v>1674</v>
      </c>
      <c r="X1041" s="81" t="s">
        <v>1674</v>
      </c>
      <c r="Y1041" s="78"/>
      <c r="Z1041" s="78"/>
      <c r="AA1041" s="81" t="s">
        <v>1674</v>
      </c>
      <c r="AB1041" s="79">
        <v>1</v>
      </c>
      <c r="AC1041" s="80" t="str">
        <f>REPLACE(INDEX(GroupVertices[Group],MATCH("~"&amp;Edges[[#This Row],[Vertex 1]],GroupVertices[Vertex],0)),1,1,"")</f>
        <v>2</v>
      </c>
      <c r="AD1041" s="80" t="str">
        <f>REPLACE(INDEX(GroupVertices[Group],MATCH("~"&amp;Edges[[#This Row],[Vertex 2]],GroupVertices[Vertex],0)),1,1,"")</f>
        <v>2</v>
      </c>
      <c r="AE1041" s="105"/>
      <c r="AF1041" s="105"/>
      <c r="AG1041" s="105"/>
      <c r="AH1041" s="105"/>
      <c r="AI1041" s="105"/>
      <c r="AJ1041" s="105"/>
      <c r="AK1041" s="105"/>
      <c r="AL1041" s="105"/>
      <c r="AM1041" s="105"/>
    </row>
    <row r="1042" spans="1:39" ht="15">
      <c r="A1042" s="62" t="s">
        <v>256</v>
      </c>
      <c r="B1042" s="62" t="s">
        <v>294</v>
      </c>
      <c r="C1042" s="63" t="s">
        <v>3598</v>
      </c>
      <c r="D1042" s="64">
        <v>5.2631578947368425</v>
      </c>
      <c r="E1042" s="65" t="s">
        <v>136</v>
      </c>
      <c r="F1042" s="66">
        <v>31.50943396226415</v>
      </c>
      <c r="G1042" s="63"/>
      <c r="H1042" s="67"/>
      <c r="I1042" s="68"/>
      <c r="J1042" s="68"/>
      <c r="K1042" s="31" t="s">
        <v>65</v>
      </c>
      <c r="L1042" s="76">
        <v>1042</v>
      </c>
      <c r="M1042" s="76"/>
      <c r="N1042" s="70"/>
      <c r="O1042" s="78" t="s">
        <v>305</v>
      </c>
      <c r="P1042" s="78" t="s">
        <v>535</v>
      </c>
      <c r="Q1042" s="78" t="s">
        <v>1057</v>
      </c>
      <c r="R1042" s="78" t="s">
        <v>1517</v>
      </c>
      <c r="S1042" s="78"/>
      <c r="T1042" s="78"/>
      <c r="U1042" s="78"/>
      <c r="V1042" s="78"/>
      <c r="W1042" s="81" t="s">
        <v>1674</v>
      </c>
      <c r="X1042" s="81" t="s">
        <v>1674</v>
      </c>
      <c r="Y1042" s="78"/>
      <c r="Z1042" s="78"/>
      <c r="AA1042" s="81" t="s">
        <v>1674</v>
      </c>
      <c r="AB1042" s="79">
        <v>2</v>
      </c>
      <c r="AC1042" s="80" t="str">
        <f>REPLACE(INDEX(GroupVertices[Group],MATCH("~"&amp;Edges[[#This Row],[Vertex 1]],GroupVertices[Vertex],0)),1,1,"")</f>
        <v>1</v>
      </c>
      <c r="AD1042" s="80" t="str">
        <f>REPLACE(INDEX(GroupVertices[Group],MATCH("~"&amp;Edges[[#This Row],[Vertex 2]],GroupVertices[Vertex],0)),1,1,"")</f>
        <v>2</v>
      </c>
      <c r="AE1042" s="105"/>
      <c r="AF1042" s="105"/>
      <c r="AG1042" s="105"/>
      <c r="AH1042" s="105"/>
      <c r="AI1042" s="105"/>
      <c r="AJ1042" s="105"/>
      <c r="AK1042" s="105"/>
      <c r="AL1042" s="105"/>
      <c r="AM1042" s="105"/>
    </row>
    <row r="1043" spans="1:39" ht="15">
      <c r="A1043" s="62" t="s">
        <v>256</v>
      </c>
      <c r="B1043" s="62" t="s">
        <v>294</v>
      </c>
      <c r="C1043" s="63" t="s">
        <v>3598</v>
      </c>
      <c r="D1043" s="64">
        <v>5.2631578947368425</v>
      </c>
      <c r="E1043" s="65" t="s">
        <v>136</v>
      </c>
      <c r="F1043" s="66">
        <v>31.50943396226415</v>
      </c>
      <c r="G1043" s="63"/>
      <c r="H1043" s="67"/>
      <c r="I1043" s="68"/>
      <c r="J1043" s="68"/>
      <c r="K1043" s="31" t="s">
        <v>65</v>
      </c>
      <c r="L1043" s="76">
        <v>1043</v>
      </c>
      <c r="M1043" s="76"/>
      <c r="N1043" s="70"/>
      <c r="O1043" s="78" t="s">
        <v>305</v>
      </c>
      <c r="P1043" s="78" t="s">
        <v>535</v>
      </c>
      <c r="Q1043" s="78" t="s">
        <v>1058</v>
      </c>
      <c r="R1043" s="78" t="s">
        <v>1517</v>
      </c>
      <c r="S1043" s="78"/>
      <c r="T1043" s="78"/>
      <c r="U1043" s="78"/>
      <c r="V1043" s="78"/>
      <c r="W1043" s="81" t="s">
        <v>1674</v>
      </c>
      <c r="X1043" s="81" t="s">
        <v>1674</v>
      </c>
      <c r="Y1043" s="78"/>
      <c r="Z1043" s="78"/>
      <c r="AA1043" s="81" t="s">
        <v>1674</v>
      </c>
      <c r="AB1043" s="79">
        <v>2</v>
      </c>
      <c r="AC1043" s="80" t="str">
        <f>REPLACE(INDEX(GroupVertices[Group],MATCH("~"&amp;Edges[[#This Row],[Vertex 1]],GroupVertices[Vertex],0)),1,1,"")</f>
        <v>1</v>
      </c>
      <c r="AD1043" s="80" t="str">
        <f>REPLACE(INDEX(GroupVertices[Group],MATCH("~"&amp;Edges[[#This Row],[Vertex 2]],GroupVertices[Vertex],0)),1,1,"")</f>
        <v>2</v>
      </c>
      <c r="AE1043" s="105"/>
      <c r="AF1043" s="105"/>
      <c r="AG1043" s="105"/>
      <c r="AH1043" s="105"/>
      <c r="AI1043" s="105"/>
      <c r="AJ1043" s="105"/>
      <c r="AK1043" s="105"/>
      <c r="AL1043" s="105"/>
      <c r="AM1043" s="105"/>
    </row>
    <row r="1044" spans="1:39" ht="15">
      <c r="A1044" s="62" t="s">
        <v>256</v>
      </c>
      <c r="B1044" s="62" t="s">
        <v>249</v>
      </c>
      <c r="C1044" s="63" t="s">
        <v>3598</v>
      </c>
      <c r="D1044" s="64">
        <v>5</v>
      </c>
      <c r="E1044" s="65" t="s">
        <v>132</v>
      </c>
      <c r="F1044" s="66">
        <v>32</v>
      </c>
      <c r="G1044" s="63"/>
      <c r="H1044" s="67"/>
      <c r="I1044" s="68"/>
      <c r="J1044" s="68"/>
      <c r="K1044" s="31" t="s">
        <v>65</v>
      </c>
      <c r="L1044" s="76">
        <v>1044</v>
      </c>
      <c r="M1044" s="76"/>
      <c r="N1044" s="70"/>
      <c r="O1044" s="78" t="s">
        <v>305</v>
      </c>
      <c r="P1044" s="78" t="s">
        <v>536</v>
      </c>
      <c r="Q1044" s="78" t="s">
        <v>1059</v>
      </c>
      <c r="R1044" s="78" t="s">
        <v>1518</v>
      </c>
      <c r="S1044" s="78"/>
      <c r="T1044" s="78"/>
      <c r="U1044" s="78"/>
      <c r="V1044" s="78"/>
      <c r="W1044" s="81" t="s">
        <v>1674</v>
      </c>
      <c r="X1044" s="81" t="s">
        <v>1674</v>
      </c>
      <c r="Y1044" s="78"/>
      <c r="Z1044" s="78"/>
      <c r="AA1044" s="81" t="s">
        <v>1674</v>
      </c>
      <c r="AB1044" s="79">
        <v>1</v>
      </c>
      <c r="AC1044" s="80" t="str">
        <f>REPLACE(INDEX(GroupVertices[Group],MATCH("~"&amp;Edges[[#This Row],[Vertex 1]],GroupVertices[Vertex],0)),1,1,"")</f>
        <v>1</v>
      </c>
      <c r="AD1044" s="80" t="str">
        <f>REPLACE(INDEX(GroupVertices[Group],MATCH("~"&amp;Edges[[#This Row],[Vertex 2]],GroupVertices[Vertex],0)),1,1,"")</f>
        <v>2</v>
      </c>
      <c r="AE1044" s="105"/>
      <c r="AF1044" s="105"/>
      <c r="AG1044" s="105"/>
      <c r="AH1044" s="105"/>
      <c r="AI1044" s="105"/>
      <c r="AJ1044" s="105"/>
      <c r="AK1044" s="105"/>
      <c r="AL1044" s="105"/>
      <c r="AM1044" s="105"/>
    </row>
    <row r="1045" spans="1:39" ht="15">
      <c r="A1045" s="62" t="s">
        <v>256</v>
      </c>
      <c r="B1045" s="62" t="s">
        <v>223</v>
      </c>
      <c r="C1045" s="63" t="s">
        <v>3603</v>
      </c>
      <c r="D1045" s="64">
        <v>5.7894736842105265</v>
      </c>
      <c r="E1045" s="65" t="s">
        <v>136</v>
      </c>
      <c r="F1045" s="66">
        <v>30.528301886792452</v>
      </c>
      <c r="G1045" s="63"/>
      <c r="H1045" s="67"/>
      <c r="I1045" s="68"/>
      <c r="J1045" s="68"/>
      <c r="K1045" s="31" t="s">
        <v>65</v>
      </c>
      <c r="L1045" s="76">
        <v>1045</v>
      </c>
      <c r="M1045" s="76"/>
      <c r="N1045" s="70"/>
      <c r="O1045" s="78" t="s">
        <v>305</v>
      </c>
      <c r="P1045" s="78" t="s">
        <v>370</v>
      </c>
      <c r="Q1045" s="78" t="s">
        <v>936</v>
      </c>
      <c r="R1045" s="78" t="s">
        <v>927</v>
      </c>
      <c r="S1045" s="78"/>
      <c r="T1045" s="78"/>
      <c r="U1045" s="78"/>
      <c r="V1045" s="78"/>
      <c r="W1045" s="81" t="s">
        <v>1674</v>
      </c>
      <c r="X1045" s="81" t="s">
        <v>1674</v>
      </c>
      <c r="Y1045" s="78"/>
      <c r="Z1045" s="78"/>
      <c r="AA1045" s="81" t="s">
        <v>1674</v>
      </c>
      <c r="AB1045" s="79">
        <v>4</v>
      </c>
      <c r="AC1045" s="80" t="str">
        <f>REPLACE(INDEX(GroupVertices[Group],MATCH("~"&amp;Edges[[#This Row],[Vertex 1]],GroupVertices[Vertex],0)),1,1,"")</f>
        <v>1</v>
      </c>
      <c r="AD1045" s="80" t="str">
        <f>REPLACE(INDEX(GroupVertices[Group],MATCH("~"&amp;Edges[[#This Row],[Vertex 2]],GroupVertices[Vertex],0)),1,1,"")</f>
        <v>5</v>
      </c>
      <c r="AE1045" s="105"/>
      <c r="AF1045" s="105"/>
      <c r="AG1045" s="105"/>
      <c r="AH1045" s="105"/>
      <c r="AI1045" s="105"/>
      <c r="AJ1045" s="105"/>
      <c r="AK1045" s="105"/>
      <c r="AL1045" s="105"/>
      <c r="AM1045" s="105"/>
    </row>
    <row r="1046" spans="1:39" ht="15">
      <c r="A1046" s="62" t="s">
        <v>256</v>
      </c>
      <c r="B1046" s="62" t="s">
        <v>223</v>
      </c>
      <c r="C1046" s="63" t="s">
        <v>3603</v>
      </c>
      <c r="D1046" s="64">
        <v>5.7894736842105265</v>
      </c>
      <c r="E1046" s="65" t="s">
        <v>136</v>
      </c>
      <c r="F1046" s="66">
        <v>30.528301886792452</v>
      </c>
      <c r="G1046" s="63"/>
      <c r="H1046" s="67"/>
      <c r="I1046" s="68"/>
      <c r="J1046" s="68"/>
      <c r="K1046" s="31" t="s">
        <v>65</v>
      </c>
      <c r="L1046" s="76">
        <v>1046</v>
      </c>
      <c r="M1046" s="76"/>
      <c r="N1046" s="70"/>
      <c r="O1046" s="78" t="s">
        <v>305</v>
      </c>
      <c r="P1046" s="78" t="s">
        <v>370</v>
      </c>
      <c r="Q1046" s="78" t="s">
        <v>936</v>
      </c>
      <c r="R1046" s="78" t="s">
        <v>928</v>
      </c>
      <c r="S1046" s="78"/>
      <c r="T1046" s="78"/>
      <c r="U1046" s="78"/>
      <c r="V1046" s="78"/>
      <c r="W1046" s="81" t="s">
        <v>1674</v>
      </c>
      <c r="X1046" s="81" t="s">
        <v>1674</v>
      </c>
      <c r="Y1046" s="78"/>
      <c r="Z1046" s="78"/>
      <c r="AA1046" s="81" t="s">
        <v>1674</v>
      </c>
      <c r="AB1046" s="79">
        <v>4</v>
      </c>
      <c r="AC1046" s="80" t="str">
        <f>REPLACE(INDEX(GroupVertices[Group],MATCH("~"&amp;Edges[[#This Row],[Vertex 1]],GroupVertices[Vertex],0)),1,1,"")</f>
        <v>1</v>
      </c>
      <c r="AD1046" s="80" t="str">
        <f>REPLACE(INDEX(GroupVertices[Group],MATCH("~"&amp;Edges[[#This Row],[Vertex 2]],GroupVertices[Vertex],0)),1,1,"")</f>
        <v>5</v>
      </c>
      <c r="AE1046" s="105"/>
      <c r="AF1046" s="105"/>
      <c r="AG1046" s="105"/>
      <c r="AH1046" s="105"/>
      <c r="AI1046" s="105"/>
      <c r="AJ1046" s="105"/>
      <c r="AK1046" s="105"/>
      <c r="AL1046" s="105"/>
      <c r="AM1046" s="105"/>
    </row>
    <row r="1047" spans="1:39" ht="15">
      <c r="A1047" s="62" t="s">
        <v>256</v>
      </c>
      <c r="B1047" s="62" t="s">
        <v>223</v>
      </c>
      <c r="C1047" s="63" t="s">
        <v>3603</v>
      </c>
      <c r="D1047" s="64">
        <v>5.7894736842105265</v>
      </c>
      <c r="E1047" s="65" t="s">
        <v>136</v>
      </c>
      <c r="F1047" s="66">
        <v>30.528301886792452</v>
      </c>
      <c r="G1047" s="63"/>
      <c r="H1047" s="67"/>
      <c r="I1047" s="68"/>
      <c r="J1047" s="68"/>
      <c r="K1047" s="31" t="s">
        <v>65</v>
      </c>
      <c r="L1047" s="76">
        <v>1047</v>
      </c>
      <c r="M1047" s="76"/>
      <c r="N1047" s="70"/>
      <c r="O1047" s="78" t="s">
        <v>305</v>
      </c>
      <c r="P1047" s="78" t="s">
        <v>370</v>
      </c>
      <c r="Q1047" s="78" t="s">
        <v>937</v>
      </c>
      <c r="R1047" s="78" t="s">
        <v>927</v>
      </c>
      <c r="S1047" s="78"/>
      <c r="T1047" s="78"/>
      <c r="U1047" s="78"/>
      <c r="V1047" s="78"/>
      <c r="W1047" s="81" t="s">
        <v>1674</v>
      </c>
      <c r="X1047" s="81" t="s">
        <v>1674</v>
      </c>
      <c r="Y1047" s="78"/>
      <c r="Z1047" s="78"/>
      <c r="AA1047" s="81" t="s">
        <v>1674</v>
      </c>
      <c r="AB1047" s="79">
        <v>4</v>
      </c>
      <c r="AC1047" s="80" t="str">
        <f>REPLACE(INDEX(GroupVertices[Group],MATCH("~"&amp;Edges[[#This Row],[Vertex 1]],GroupVertices[Vertex],0)),1,1,"")</f>
        <v>1</v>
      </c>
      <c r="AD1047" s="80" t="str">
        <f>REPLACE(INDEX(GroupVertices[Group],MATCH("~"&amp;Edges[[#This Row],[Vertex 2]],GroupVertices[Vertex],0)),1,1,"")</f>
        <v>5</v>
      </c>
      <c r="AE1047" s="105"/>
      <c r="AF1047" s="105"/>
      <c r="AG1047" s="105"/>
      <c r="AH1047" s="105"/>
      <c r="AI1047" s="105"/>
      <c r="AJ1047" s="105"/>
      <c r="AK1047" s="105"/>
      <c r="AL1047" s="105"/>
      <c r="AM1047" s="105"/>
    </row>
    <row r="1048" spans="1:39" ht="15">
      <c r="A1048" s="62" t="s">
        <v>256</v>
      </c>
      <c r="B1048" s="62" t="s">
        <v>223</v>
      </c>
      <c r="C1048" s="63" t="s">
        <v>3603</v>
      </c>
      <c r="D1048" s="64">
        <v>5.7894736842105265</v>
      </c>
      <c r="E1048" s="65" t="s">
        <v>136</v>
      </c>
      <c r="F1048" s="66">
        <v>30.528301886792452</v>
      </c>
      <c r="G1048" s="63"/>
      <c r="H1048" s="67"/>
      <c r="I1048" s="68"/>
      <c r="J1048" s="68"/>
      <c r="K1048" s="31" t="s">
        <v>65</v>
      </c>
      <c r="L1048" s="76">
        <v>1048</v>
      </c>
      <c r="M1048" s="76"/>
      <c r="N1048" s="70"/>
      <c r="O1048" s="78" t="s">
        <v>305</v>
      </c>
      <c r="P1048" s="78" t="s">
        <v>370</v>
      </c>
      <c r="Q1048" s="78" t="s">
        <v>937</v>
      </c>
      <c r="R1048" s="78" t="s">
        <v>928</v>
      </c>
      <c r="S1048" s="78"/>
      <c r="T1048" s="78"/>
      <c r="U1048" s="78"/>
      <c r="V1048" s="78"/>
      <c r="W1048" s="81" t="s">
        <v>1674</v>
      </c>
      <c r="X1048" s="81" t="s">
        <v>1674</v>
      </c>
      <c r="Y1048" s="78"/>
      <c r="Z1048" s="78"/>
      <c r="AA1048" s="81" t="s">
        <v>1674</v>
      </c>
      <c r="AB1048" s="79">
        <v>4</v>
      </c>
      <c r="AC1048" s="80" t="str">
        <f>REPLACE(INDEX(GroupVertices[Group],MATCH("~"&amp;Edges[[#This Row],[Vertex 1]],GroupVertices[Vertex],0)),1,1,"")</f>
        <v>1</v>
      </c>
      <c r="AD1048" s="80" t="str">
        <f>REPLACE(INDEX(GroupVertices[Group],MATCH("~"&amp;Edges[[#This Row],[Vertex 2]],GroupVertices[Vertex],0)),1,1,"")</f>
        <v>5</v>
      </c>
      <c r="AE1048" s="105"/>
      <c r="AF1048" s="105"/>
      <c r="AG1048" s="105"/>
      <c r="AH1048" s="105"/>
      <c r="AI1048" s="105"/>
      <c r="AJ1048" s="105"/>
      <c r="AK1048" s="105"/>
      <c r="AL1048" s="105"/>
      <c r="AM1048" s="105"/>
    </row>
    <row r="1049" spans="1:39" ht="15">
      <c r="A1049" s="62" t="s">
        <v>256</v>
      </c>
      <c r="B1049" s="62" t="s">
        <v>245</v>
      </c>
      <c r="C1049" s="63" t="s">
        <v>3599</v>
      </c>
      <c r="D1049" s="64">
        <v>6.052631578947368</v>
      </c>
      <c r="E1049" s="65" t="s">
        <v>136</v>
      </c>
      <c r="F1049" s="66">
        <v>30.037735849056602</v>
      </c>
      <c r="G1049" s="63"/>
      <c r="H1049" s="67"/>
      <c r="I1049" s="68"/>
      <c r="J1049" s="68"/>
      <c r="K1049" s="31" t="s">
        <v>65</v>
      </c>
      <c r="L1049" s="76">
        <v>1049</v>
      </c>
      <c r="M1049" s="76"/>
      <c r="N1049" s="70"/>
      <c r="O1049" s="78" t="s">
        <v>305</v>
      </c>
      <c r="P1049" s="78" t="s">
        <v>600</v>
      </c>
      <c r="Q1049" s="78" t="s">
        <v>1167</v>
      </c>
      <c r="R1049" s="78" t="s">
        <v>1591</v>
      </c>
      <c r="S1049" s="78"/>
      <c r="T1049" s="78"/>
      <c r="U1049" s="78"/>
      <c r="V1049" s="78"/>
      <c r="W1049" s="81" t="s">
        <v>1674</v>
      </c>
      <c r="X1049" s="81" t="s">
        <v>1674</v>
      </c>
      <c r="Y1049" s="78"/>
      <c r="Z1049" s="78"/>
      <c r="AA1049" s="81" t="s">
        <v>1674</v>
      </c>
      <c r="AB1049" s="79">
        <v>5</v>
      </c>
      <c r="AC1049" s="80" t="str">
        <f>REPLACE(INDEX(GroupVertices[Group],MATCH("~"&amp;Edges[[#This Row],[Vertex 1]],GroupVertices[Vertex],0)),1,1,"")</f>
        <v>1</v>
      </c>
      <c r="AD1049" s="80" t="str">
        <f>REPLACE(INDEX(GroupVertices[Group],MATCH("~"&amp;Edges[[#This Row],[Vertex 2]],GroupVertices[Vertex],0)),1,1,"")</f>
        <v>1</v>
      </c>
      <c r="AE1049" s="105"/>
      <c r="AF1049" s="105"/>
      <c r="AG1049" s="105"/>
      <c r="AH1049" s="105"/>
      <c r="AI1049" s="105"/>
      <c r="AJ1049" s="105"/>
      <c r="AK1049" s="105"/>
      <c r="AL1049" s="105"/>
      <c r="AM1049" s="105"/>
    </row>
    <row r="1050" spans="1:39" ht="15">
      <c r="A1050" s="62" t="s">
        <v>256</v>
      </c>
      <c r="B1050" s="62" t="s">
        <v>245</v>
      </c>
      <c r="C1050" s="63" t="s">
        <v>3599</v>
      </c>
      <c r="D1050" s="64">
        <v>6.052631578947368</v>
      </c>
      <c r="E1050" s="65" t="s">
        <v>136</v>
      </c>
      <c r="F1050" s="66">
        <v>30.037735849056602</v>
      </c>
      <c r="G1050" s="63"/>
      <c r="H1050" s="67"/>
      <c r="I1050" s="68"/>
      <c r="J1050" s="68"/>
      <c r="K1050" s="31" t="s">
        <v>65</v>
      </c>
      <c r="L1050" s="76">
        <v>1050</v>
      </c>
      <c r="M1050" s="76"/>
      <c r="N1050" s="70"/>
      <c r="O1050" s="78" t="s">
        <v>305</v>
      </c>
      <c r="P1050" s="78" t="s">
        <v>600</v>
      </c>
      <c r="Q1050" s="78" t="s">
        <v>1167</v>
      </c>
      <c r="R1050" s="78" t="s">
        <v>1592</v>
      </c>
      <c r="S1050" s="78"/>
      <c r="T1050" s="78"/>
      <c r="U1050" s="78"/>
      <c r="V1050" s="78"/>
      <c r="W1050" s="81" t="s">
        <v>1674</v>
      </c>
      <c r="X1050" s="81" t="s">
        <v>1674</v>
      </c>
      <c r="Y1050" s="78"/>
      <c r="Z1050" s="78"/>
      <c r="AA1050" s="81" t="s">
        <v>1674</v>
      </c>
      <c r="AB1050" s="79">
        <v>5</v>
      </c>
      <c r="AC1050" s="80" t="str">
        <f>REPLACE(INDEX(GroupVertices[Group],MATCH("~"&amp;Edges[[#This Row],[Vertex 1]],GroupVertices[Vertex],0)),1,1,"")</f>
        <v>1</v>
      </c>
      <c r="AD1050" s="80" t="str">
        <f>REPLACE(INDEX(GroupVertices[Group],MATCH("~"&amp;Edges[[#This Row],[Vertex 2]],GroupVertices[Vertex],0)),1,1,"")</f>
        <v>1</v>
      </c>
      <c r="AE1050" s="105"/>
      <c r="AF1050" s="105"/>
      <c r="AG1050" s="105"/>
      <c r="AH1050" s="105"/>
      <c r="AI1050" s="105"/>
      <c r="AJ1050" s="105"/>
      <c r="AK1050" s="105"/>
      <c r="AL1050" s="105"/>
      <c r="AM1050" s="105"/>
    </row>
    <row r="1051" spans="1:39" ht="15">
      <c r="A1051" s="62" t="s">
        <v>256</v>
      </c>
      <c r="B1051" s="62" t="s">
        <v>245</v>
      </c>
      <c r="C1051" s="63" t="s">
        <v>3599</v>
      </c>
      <c r="D1051" s="64">
        <v>6.052631578947368</v>
      </c>
      <c r="E1051" s="65" t="s">
        <v>136</v>
      </c>
      <c r="F1051" s="66">
        <v>30.037735849056602</v>
      </c>
      <c r="G1051" s="63"/>
      <c r="H1051" s="67"/>
      <c r="I1051" s="68"/>
      <c r="J1051" s="68"/>
      <c r="K1051" s="31" t="s">
        <v>65</v>
      </c>
      <c r="L1051" s="76">
        <v>1051</v>
      </c>
      <c r="M1051" s="76"/>
      <c r="N1051" s="70"/>
      <c r="O1051" s="78" t="s">
        <v>305</v>
      </c>
      <c r="P1051" s="78" t="s">
        <v>601</v>
      </c>
      <c r="Q1051" s="78" t="s">
        <v>1168</v>
      </c>
      <c r="R1051" s="78" t="s">
        <v>1593</v>
      </c>
      <c r="S1051" s="78"/>
      <c r="T1051" s="78"/>
      <c r="U1051" s="78"/>
      <c r="V1051" s="78"/>
      <c r="W1051" s="81" t="s">
        <v>1674</v>
      </c>
      <c r="X1051" s="81" t="s">
        <v>1674</v>
      </c>
      <c r="Y1051" s="78"/>
      <c r="Z1051" s="78"/>
      <c r="AA1051" s="81" t="s">
        <v>1674</v>
      </c>
      <c r="AB1051" s="79">
        <v>5</v>
      </c>
      <c r="AC1051" s="80" t="str">
        <f>REPLACE(INDEX(GroupVertices[Group],MATCH("~"&amp;Edges[[#This Row],[Vertex 1]],GroupVertices[Vertex],0)),1,1,"")</f>
        <v>1</v>
      </c>
      <c r="AD1051" s="80" t="str">
        <f>REPLACE(INDEX(GroupVertices[Group],MATCH("~"&amp;Edges[[#This Row],[Vertex 2]],GroupVertices[Vertex],0)),1,1,"")</f>
        <v>1</v>
      </c>
      <c r="AE1051" s="105"/>
      <c r="AF1051" s="105"/>
      <c r="AG1051" s="105"/>
      <c r="AH1051" s="105"/>
      <c r="AI1051" s="105"/>
      <c r="AJ1051" s="105"/>
      <c r="AK1051" s="105"/>
      <c r="AL1051" s="105"/>
      <c r="AM1051" s="105"/>
    </row>
    <row r="1052" spans="1:39" ht="15">
      <c r="A1052" s="62" t="s">
        <v>256</v>
      </c>
      <c r="B1052" s="62" t="s">
        <v>245</v>
      </c>
      <c r="C1052" s="63" t="s">
        <v>3599</v>
      </c>
      <c r="D1052" s="64">
        <v>6.052631578947368</v>
      </c>
      <c r="E1052" s="65" t="s">
        <v>136</v>
      </c>
      <c r="F1052" s="66">
        <v>30.037735849056602</v>
      </c>
      <c r="G1052" s="63"/>
      <c r="H1052" s="67"/>
      <c r="I1052" s="68"/>
      <c r="J1052" s="68"/>
      <c r="K1052" s="31" t="s">
        <v>65</v>
      </c>
      <c r="L1052" s="76">
        <v>1052</v>
      </c>
      <c r="M1052" s="76"/>
      <c r="N1052" s="70"/>
      <c r="O1052" s="78" t="s">
        <v>305</v>
      </c>
      <c r="P1052" s="78" t="s">
        <v>535</v>
      </c>
      <c r="Q1052" s="78" t="s">
        <v>1057</v>
      </c>
      <c r="R1052" s="78" t="s">
        <v>1054</v>
      </c>
      <c r="S1052" s="78"/>
      <c r="T1052" s="78"/>
      <c r="U1052" s="78"/>
      <c r="V1052" s="78"/>
      <c r="W1052" s="81" t="s">
        <v>1674</v>
      </c>
      <c r="X1052" s="81" t="s">
        <v>1674</v>
      </c>
      <c r="Y1052" s="78"/>
      <c r="Z1052" s="78"/>
      <c r="AA1052" s="81" t="s">
        <v>1674</v>
      </c>
      <c r="AB1052" s="79">
        <v>5</v>
      </c>
      <c r="AC1052" s="80" t="str">
        <f>REPLACE(INDEX(GroupVertices[Group],MATCH("~"&amp;Edges[[#This Row],[Vertex 1]],GroupVertices[Vertex],0)),1,1,"")</f>
        <v>1</v>
      </c>
      <c r="AD1052" s="80" t="str">
        <f>REPLACE(INDEX(GroupVertices[Group],MATCH("~"&amp;Edges[[#This Row],[Vertex 2]],GroupVertices[Vertex],0)),1,1,"")</f>
        <v>1</v>
      </c>
      <c r="AE1052" s="105"/>
      <c r="AF1052" s="105"/>
      <c r="AG1052" s="105"/>
      <c r="AH1052" s="105"/>
      <c r="AI1052" s="105"/>
      <c r="AJ1052" s="105"/>
      <c r="AK1052" s="105"/>
      <c r="AL1052" s="105"/>
      <c r="AM1052" s="105"/>
    </row>
    <row r="1053" spans="1:39" ht="15">
      <c r="A1053" s="62" t="s">
        <v>256</v>
      </c>
      <c r="B1053" s="62" t="s">
        <v>245</v>
      </c>
      <c r="C1053" s="63" t="s">
        <v>3599</v>
      </c>
      <c r="D1053" s="64">
        <v>6.052631578947368</v>
      </c>
      <c r="E1053" s="65" t="s">
        <v>136</v>
      </c>
      <c r="F1053" s="66">
        <v>30.037735849056602</v>
      </c>
      <c r="G1053" s="63"/>
      <c r="H1053" s="67"/>
      <c r="I1053" s="68"/>
      <c r="J1053" s="68"/>
      <c r="K1053" s="31" t="s">
        <v>65</v>
      </c>
      <c r="L1053" s="76">
        <v>1053</v>
      </c>
      <c r="M1053" s="76"/>
      <c r="N1053" s="70"/>
      <c r="O1053" s="78" t="s">
        <v>305</v>
      </c>
      <c r="P1053" s="78" t="s">
        <v>535</v>
      </c>
      <c r="Q1053" s="78" t="s">
        <v>1058</v>
      </c>
      <c r="R1053" s="78" t="s">
        <v>1054</v>
      </c>
      <c r="S1053" s="78"/>
      <c r="T1053" s="78"/>
      <c r="U1053" s="78"/>
      <c r="V1053" s="78"/>
      <c r="W1053" s="81" t="s">
        <v>1674</v>
      </c>
      <c r="X1053" s="81" t="s">
        <v>1674</v>
      </c>
      <c r="Y1053" s="78"/>
      <c r="Z1053" s="78"/>
      <c r="AA1053" s="81" t="s">
        <v>1674</v>
      </c>
      <c r="AB1053" s="79">
        <v>5</v>
      </c>
      <c r="AC1053" s="80" t="str">
        <f>REPLACE(INDEX(GroupVertices[Group],MATCH("~"&amp;Edges[[#This Row],[Vertex 1]],GroupVertices[Vertex],0)),1,1,"")</f>
        <v>1</v>
      </c>
      <c r="AD1053" s="80" t="str">
        <f>REPLACE(INDEX(GroupVertices[Group],MATCH("~"&amp;Edges[[#This Row],[Vertex 2]],GroupVertices[Vertex],0)),1,1,"")</f>
        <v>1</v>
      </c>
      <c r="AE1053" s="105"/>
      <c r="AF1053" s="105"/>
      <c r="AG1053" s="105"/>
      <c r="AH1053" s="105"/>
      <c r="AI1053" s="105"/>
      <c r="AJ1053" s="105"/>
      <c r="AK1053" s="105"/>
      <c r="AL1053" s="105"/>
      <c r="AM1053" s="105"/>
    </row>
    <row r="1054" spans="1:39" ht="15">
      <c r="A1054" s="62" t="s">
        <v>258</v>
      </c>
      <c r="B1054" s="62" t="s">
        <v>256</v>
      </c>
      <c r="C1054" s="63" t="s">
        <v>3598</v>
      </c>
      <c r="D1054" s="64">
        <v>5</v>
      </c>
      <c r="E1054" s="65" t="s">
        <v>132</v>
      </c>
      <c r="F1054" s="66">
        <v>32</v>
      </c>
      <c r="G1054" s="63"/>
      <c r="H1054" s="67"/>
      <c r="I1054" s="68"/>
      <c r="J1054" s="68"/>
      <c r="K1054" s="31" t="s">
        <v>65</v>
      </c>
      <c r="L1054" s="76">
        <v>1054</v>
      </c>
      <c r="M1054" s="76"/>
      <c r="N1054" s="70"/>
      <c r="O1054" s="78" t="s">
        <v>305</v>
      </c>
      <c r="P1054" s="78" t="s">
        <v>501</v>
      </c>
      <c r="Q1054" s="78" t="s">
        <v>999</v>
      </c>
      <c r="R1054" s="78" t="s">
        <v>995</v>
      </c>
      <c r="S1054" s="78"/>
      <c r="T1054" s="78"/>
      <c r="U1054" s="78"/>
      <c r="V1054" s="78"/>
      <c r="W1054" s="81" t="s">
        <v>1674</v>
      </c>
      <c r="X1054" s="81" t="s">
        <v>1674</v>
      </c>
      <c r="Y1054" s="78"/>
      <c r="Z1054" s="78"/>
      <c r="AA1054" s="81" t="s">
        <v>1674</v>
      </c>
      <c r="AB1054" s="79">
        <v>1</v>
      </c>
      <c r="AC1054" s="80" t="str">
        <f>REPLACE(INDEX(GroupVertices[Group],MATCH("~"&amp;Edges[[#This Row],[Vertex 1]],GroupVertices[Vertex],0)),1,1,"")</f>
        <v>1</v>
      </c>
      <c r="AD1054" s="80" t="str">
        <f>REPLACE(INDEX(GroupVertices[Group],MATCH("~"&amp;Edges[[#This Row],[Vertex 2]],GroupVertices[Vertex],0)),1,1,"")</f>
        <v>1</v>
      </c>
      <c r="AE1054" s="105"/>
      <c r="AF1054" s="105"/>
      <c r="AG1054" s="105"/>
      <c r="AH1054" s="105"/>
      <c r="AI1054" s="105"/>
      <c r="AJ1054" s="105"/>
      <c r="AK1054" s="105"/>
      <c r="AL1054" s="105"/>
      <c r="AM1054" s="105"/>
    </row>
    <row r="1055" spans="1:39" ht="15">
      <c r="A1055" s="62" t="s">
        <v>260</v>
      </c>
      <c r="B1055" s="62" t="s">
        <v>256</v>
      </c>
      <c r="C1055" s="63" t="s">
        <v>3599</v>
      </c>
      <c r="D1055" s="64">
        <v>6.315789473684211</v>
      </c>
      <c r="E1055" s="65" t="s">
        <v>136</v>
      </c>
      <c r="F1055" s="66">
        <v>29.547169811320757</v>
      </c>
      <c r="G1055" s="63"/>
      <c r="H1055" s="67"/>
      <c r="I1055" s="68"/>
      <c r="J1055" s="68"/>
      <c r="K1055" s="31" t="s">
        <v>65</v>
      </c>
      <c r="L1055" s="76">
        <v>1055</v>
      </c>
      <c r="M1055" s="76"/>
      <c r="N1055" s="70"/>
      <c r="O1055" s="78" t="s">
        <v>305</v>
      </c>
      <c r="P1055" s="78" t="s">
        <v>444</v>
      </c>
      <c r="Q1055" s="78" t="s">
        <v>893</v>
      </c>
      <c r="R1055" s="78" t="s">
        <v>1418</v>
      </c>
      <c r="S1055" s="78"/>
      <c r="T1055" s="78"/>
      <c r="U1055" s="78"/>
      <c r="V1055" s="78"/>
      <c r="W1055" s="81" t="s">
        <v>1674</v>
      </c>
      <c r="X1055" s="81" t="s">
        <v>1674</v>
      </c>
      <c r="Y1055" s="78"/>
      <c r="Z1055" s="78"/>
      <c r="AA1055" s="81" t="s">
        <v>1674</v>
      </c>
      <c r="AB1055" s="79">
        <v>6</v>
      </c>
      <c r="AC1055" s="80" t="str">
        <f>REPLACE(INDEX(GroupVertices[Group],MATCH("~"&amp;Edges[[#This Row],[Vertex 1]],GroupVertices[Vertex],0)),1,1,"")</f>
        <v>1</v>
      </c>
      <c r="AD1055" s="80" t="str">
        <f>REPLACE(INDEX(GroupVertices[Group],MATCH("~"&amp;Edges[[#This Row],[Vertex 2]],GroupVertices[Vertex],0)),1,1,"")</f>
        <v>1</v>
      </c>
      <c r="AE1055" s="105"/>
      <c r="AF1055" s="105"/>
      <c r="AG1055" s="105"/>
      <c r="AH1055" s="105"/>
      <c r="AI1055" s="105"/>
      <c r="AJ1055" s="105"/>
      <c r="AK1055" s="105"/>
      <c r="AL1055" s="105"/>
      <c r="AM1055" s="105"/>
    </row>
    <row r="1056" spans="1:39" ht="15">
      <c r="A1056" s="62" t="s">
        <v>260</v>
      </c>
      <c r="B1056" s="62" t="s">
        <v>256</v>
      </c>
      <c r="C1056" s="63" t="s">
        <v>3599</v>
      </c>
      <c r="D1056" s="64">
        <v>6.315789473684211</v>
      </c>
      <c r="E1056" s="65" t="s">
        <v>136</v>
      </c>
      <c r="F1056" s="66">
        <v>29.547169811320757</v>
      </c>
      <c r="G1056" s="63"/>
      <c r="H1056" s="67"/>
      <c r="I1056" s="68"/>
      <c r="J1056" s="68"/>
      <c r="K1056" s="31" t="s">
        <v>65</v>
      </c>
      <c r="L1056" s="76">
        <v>1056</v>
      </c>
      <c r="M1056" s="76"/>
      <c r="N1056" s="70"/>
      <c r="O1056" s="78" t="s">
        <v>305</v>
      </c>
      <c r="P1056" s="78" t="s">
        <v>444</v>
      </c>
      <c r="Q1056" s="78" t="s">
        <v>894</v>
      </c>
      <c r="R1056" s="78" t="s">
        <v>1418</v>
      </c>
      <c r="S1056" s="78"/>
      <c r="T1056" s="78"/>
      <c r="U1056" s="78"/>
      <c r="V1056" s="78"/>
      <c r="W1056" s="81" t="s">
        <v>1674</v>
      </c>
      <c r="X1056" s="81" t="s">
        <v>1674</v>
      </c>
      <c r="Y1056" s="78"/>
      <c r="Z1056" s="78"/>
      <c r="AA1056" s="81" t="s">
        <v>1674</v>
      </c>
      <c r="AB1056" s="79">
        <v>6</v>
      </c>
      <c r="AC1056" s="80" t="str">
        <f>REPLACE(INDEX(GroupVertices[Group],MATCH("~"&amp;Edges[[#This Row],[Vertex 1]],GroupVertices[Vertex],0)),1,1,"")</f>
        <v>1</v>
      </c>
      <c r="AD1056" s="80" t="str">
        <f>REPLACE(INDEX(GroupVertices[Group],MATCH("~"&amp;Edges[[#This Row],[Vertex 2]],GroupVertices[Vertex],0)),1,1,"")</f>
        <v>1</v>
      </c>
      <c r="AE1056" s="105"/>
      <c r="AF1056" s="105"/>
      <c r="AG1056" s="105"/>
      <c r="AH1056" s="105"/>
      <c r="AI1056" s="105"/>
      <c r="AJ1056" s="105"/>
      <c r="AK1056" s="105"/>
      <c r="AL1056" s="105"/>
      <c r="AM1056" s="105"/>
    </row>
    <row r="1057" spans="1:39" ht="15">
      <c r="A1057" s="62" t="s">
        <v>260</v>
      </c>
      <c r="B1057" s="62" t="s">
        <v>256</v>
      </c>
      <c r="C1057" s="63" t="s">
        <v>3599</v>
      </c>
      <c r="D1057" s="64">
        <v>6.315789473684211</v>
      </c>
      <c r="E1057" s="65" t="s">
        <v>136</v>
      </c>
      <c r="F1057" s="66">
        <v>29.547169811320757</v>
      </c>
      <c r="G1057" s="63"/>
      <c r="H1057" s="67"/>
      <c r="I1057" s="68"/>
      <c r="J1057" s="68"/>
      <c r="K1057" s="31" t="s">
        <v>65</v>
      </c>
      <c r="L1057" s="76">
        <v>1057</v>
      </c>
      <c r="M1057" s="76"/>
      <c r="N1057" s="70"/>
      <c r="O1057" s="78" t="s">
        <v>305</v>
      </c>
      <c r="P1057" s="78" t="s">
        <v>553</v>
      </c>
      <c r="Q1057" s="78" t="s">
        <v>1091</v>
      </c>
      <c r="R1057" s="78" t="s">
        <v>1539</v>
      </c>
      <c r="S1057" s="78"/>
      <c r="T1057" s="78"/>
      <c r="U1057" s="78"/>
      <c r="V1057" s="78"/>
      <c r="W1057" s="81" t="s">
        <v>1674</v>
      </c>
      <c r="X1057" s="81" t="s">
        <v>1674</v>
      </c>
      <c r="Y1057" s="78"/>
      <c r="Z1057" s="78"/>
      <c r="AA1057" s="81" t="s">
        <v>1674</v>
      </c>
      <c r="AB1057" s="79">
        <v>6</v>
      </c>
      <c r="AC1057" s="80" t="str">
        <f>REPLACE(INDEX(GroupVertices[Group],MATCH("~"&amp;Edges[[#This Row],[Vertex 1]],GroupVertices[Vertex],0)),1,1,"")</f>
        <v>1</v>
      </c>
      <c r="AD1057" s="80" t="str">
        <f>REPLACE(INDEX(GroupVertices[Group],MATCH("~"&amp;Edges[[#This Row],[Vertex 2]],GroupVertices[Vertex],0)),1,1,"")</f>
        <v>1</v>
      </c>
      <c r="AE1057" s="105"/>
      <c r="AF1057" s="105"/>
      <c r="AG1057" s="105"/>
      <c r="AH1057" s="105"/>
      <c r="AI1057" s="105"/>
      <c r="AJ1057" s="105"/>
      <c r="AK1057" s="105"/>
      <c r="AL1057" s="105"/>
      <c r="AM1057" s="105"/>
    </row>
    <row r="1058" spans="1:39" ht="15">
      <c r="A1058" s="62" t="s">
        <v>260</v>
      </c>
      <c r="B1058" s="62" t="s">
        <v>256</v>
      </c>
      <c r="C1058" s="63" t="s">
        <v>3599</v>
      </c>
      <c r="D1058" s="64">
        <v>6.315789473684211</v>
      </c>
      <c r="E1058" s="65" t="s">
        <v>136</v>
      </c>
      <c r="F1058" s="66">
        <v>29.547169811320757</v>
      </c>
      <c r="G1058" s="63"/>
      <c r="H1058" s="67"/>
      <c r="I1058" s="68"/>
      <c r="J1058" s="68"/>
      <c r="K1058" s="31" t="s">
        <v>65</v>
      </c>
      <c r="L1058" s="76">
        <v>1058</v>
      </c>
      <c r="M1058" s="76"/>
      <c r="N1058" s="70"/>
      <c r="O1058" s="78" t="s">
        <v>305</v>
      </c>
      <c r="P1058" s="78" t="s">
        <v>370</v>
      </c>
      <c r="Q1058" s="78" t="s">
        <v>789</v>
      </c>
      <c r="R1058" s="78" t="s">
        <v>936</v>
      </c>
      <c r="S1058" s="78"/>
      <c r="T1058" s="78"/>
      <c r="U1058" s="78"/>
      <c r="V1058" s="78"/>
      <c r="W1058" s="81" t="s">
        <v>1674</v>
      </c>
      <c r="X1058" s="81" t="s">
        <v>1674</v>
      </c>
      <c r="Y1058" s="78"/>
      <c r="Z1058" s="78"/>
      <c r="AA1058" s="81" t="s">
        <v>1674</v>
      </c>
      <c r="AB1058" s="79">
        <v>6</v>
      </c>
      <c r="AC1058" s="80" t="str">
        <f>REPLACE(INDEX(GroupVertices[Group],MATCH("~"&amp;Edges[[#This Row],[Vertex 1]],GroupVertices[Vertex],0)),1,1,"")</f>
        <v>1</v>
      </c>
      <c r="AD1058" s="80" t="str">
        <f>REPLACE(INDEX(GroupVertices[Group],MATCH("~"&amp;Edges[[#This Row],[Vertex 2]],GroupVertices[Vertex],0)),1,1,"")</f>
        <v>1</v>
      </c>
      <c r="AE1058" s="105"/>
      <c r="AF1058" s="105"/>
      <c r="AG1058" s="105"/>
      <c r="AH1058" s="105"/>
      <c r="AI1058" s="105"/>
      <c r="AJ1058" s="105"/>
      <c r="AK1058" s="105"/>
      <c r="AL1058" s="105"/>
      <c r="AM1058" s="105"/>
    </row>
    <row r="1059" spans="1:39" ht="15">
      <c r="A1059" s="62" t="s">
        <v>260</v>
      </c>
      <c r="B1059" s="62" t="s">
        <v>256</v>
      </c>
      <c r="C1059" s="63" t="s">
        <v>3599</v>
      </c>
      <c r="D1059" s="64">
        <v>6.315789473684211</v>
      </c>
      <c r="E1059" s="65" t="s">
        <v>136</v>
      </c>
      <c r="F1059" s="66">
        <v>29.547169811320757</v>
      </c>
      <c r="G1059" s="63"/>
      <c r="H1059" s="67"/>
      <c r="I1059" s="68"/>
      <c r="J1059" s="68"/>
      <c r="K1059" s="31" t="s">
        <v>65</v>
      </c>
      <c r="L1059" s="76">
        <v>1059</v>
      </c>
      <c r="M1059" s="76"/>
      <c r="N1059" s="70"/>
      <c r="O1059" s="78" t="s">
        <v>305</v>
      </c>
      <c r="P1059" s="78" t="s">
        <v>370</v>
      </c>
      <c r="Q1059" s="78" t="s">
        <v>789</v>
      </c>
      <c r="R1059" s="78" t="s">
        <v>937</v>
      </c>
      <c r="S1059" s="78"/>
      <c r="T1059" s="78"/>
      <c r="U1059" s="78"/>
      <c r="V1059" s="78"/>
      <c r="W1059" s="81" t="s">
        <v>1674</v>
      </c>
      <c r="X1059" s="81" t="s">
        <v>1674</v>
      </c>
      <c r="Y1059" s="78"/>
      <c r="Z1059" s="78"/>
      <c r="AA1059" s="81" t="s">
        <v>1674</v>
      </c>
      <c r="AB1059" s="79">
        <v>6</v>
      </c>
      <c r="AC1059" s="80" t="str">
        <f>REPLACE(INDEX(GroupVertices[Group],MATCH("~"&amp;Edges[[#This Row],[Vertex 1]],GroupVertices[Vertex],0)),1,1,"")</f>
        <v>1</v>
      </c>
      <c r="AD1059" s="80" t="str">
        <f>REPLACE(INDEX(GroupVertices[Group],MATCH("~"&amp;Edges[[#This Row],[Vertex 2]],GroupVertices[Vertex],0)),1,1,"")</f>
        <v>1</v>
      </c>
      <c r="AE1059" s="105"/>
      <c r="AF1059" s="105"/>
      <c r="AG1059" s="105"/>
      <c r="AH1059" s="105"/>
      <c r="AI1059" s="105"/>
      <c r="AJ1059" s="105"/>
      <c r="AK1059" s="105"/>
      <c r="AL1059" s="105"/>
      <c r="AM1059" s="105"/>
    </row>
    <row r="1060" spans="1:39" ht="15">
      <c r="A1060" s="62" t="s">
        <v>260</v>
      </c>
      <c r="B1060" s="62" t="s">
        <v>256</v>
      </c>
      <c r="C1060" s="63" t="s">
        <v>3599</v>
      </c>
      <c r="D1060" s="64">
        <v>6.315789473684211</v>
      </c>
      <c r="E1060" s="65" t="s">
        <v>136</v>
      </c>
      <c r="F1060" s="66">
        <v>29.547169811320757</v>
      </c>
      <c r="G1060" s="63"/>
      <c r="H1060" s="67"/>
      <c r="I1060" s="68"/>
      <c r="J1060" s="68"/>
      <c r="K1060" s="31" t="s">
        <v>65</v>
      </c>
      <c r="L1060" s="76">
        <v>1060</v>
      </c>
      <c r="M1060" s="76"/>
      <c r="N1060" s="70"/>
      <c r="O1060" s="78" t="s">
        <v>305</v>
      </c>
      <c r="P1060" s="78" t="s">
        <v>501</v>
      </c>
      <c r="Q1060" s="78" t="s">
        <v>995</v>
      </c>
      <c r="R1060" s="78" t="s">
        <v>995</v>
      </c>
      <c r="S1060" s="78"/>
      <c r="T1060" s="78"/>
      <c r="U1060" s="78"/>
      <c r="V1060" s="78"/>
      <c r="W1060" s="81" t="s">
        <v>1674</v>
      </c>
      <c r="X1060" s="81" t="s">
        <v>1674</v>
      </c>
      <c r="Y1060" s="78"/>
      <c r="Z1060" s="78"/>
      <c r="AA1060" s="81" t="s">
        <v>1674</v>
      </c>
      <c r="AB1060" s="79">
        <v>6</v>
      </c>
      <c r="AC1060" s="80" t="str">
        <f>REPLACE(INDEX(GroupVertices[Group],MATCH("~"&amp;Edges[[#This Row],[Vertex 1]],GroupVertices[Vertex],0)),1,1,"")</f>
        <v>1</v>
      </c>
      <c r="AD1060" s="80" t="str">
        <f>REPLACE(INDEX(GroupVertices[Group],MATCH("~"&amp;Edges[[#This Row],[Vertex 2]],GroupVertices[Vertex],0)),1,1,"")</f>
        <v>1</v>
      </c>
      <c r="AE1060" s="105"/>
      <c r="AF1060" s="105"/>
      <c r="AG1060" s="105"/>
      <c r="AH1060" s="105"/>
      <c r="AI1060" s="105"/>
      <c r="AJ1060" s="105"/>
      <c r="AK1060" s="105"/>
      <c r="AL1060" s="105"/>
      <c r="AM1060" s="105"/>
    </row>
    <row r="1061" spans="1:39" ht="15">
      <c r="A1061" s="62" t="s">
        <v>277</v>
      </c>
      <c r="B1061" s="62" t="s">
        <v>256</v>
      </c>
      <c r="C1061" s="63" t="s">
        <v>3598</v>
      </c>
      <c r="D1061" s="64">
        <v>5</v>
      </c>
      <c r="E1061" s="65" t="s">
        <v>132</v>
      </c>
      <c r="F1061" s="66">
        <v>32</v>
      </c>
      <c r="G1061" s="63"/>
      <c r="H1061" s="67"/>
      <c r="I1061" s="68"/>
      <c r="J1061" s="68"/>
      <c r="K1061" s="31" t="s">
        <v>65</v>
      </c>
      <c r="L1061" s="76">
        <v>1061</v>
      </c>
      <c r="M1061" s="76"/>
      <c r="N1061" s="70"/>
      <c r="O1061" s="78" t="s">
        <v>305</v>
      </c>
      <c r="P1061" s="78" t="s">
        <v>501</v>
      </c>
      <c r="Q1061" s="78" t="s">
        <v>1002</v>
      </c>
      <c r="R1061" s="78" t="s">
        <v>995</v>
      </c>
      <c r="S1061" s="78"/>
      <c r="T1061" s="78"/>
      <c r="U1061" s="78"/>
      <c r="V1061" s="78"/>
      <c r="W1061" s="81" t="s">
        <v>1674</v>
      </c>
      <c r="X1061" s="81" t="s">
        <v>1674</v>
      </c>
      <c r="Y1061" s="78"/>
      <c r="Z1061" s="78"/>
      <c r="AA1061" s="81" t="s">
        <v>1674</v>
      </c>
      <c r="AB1061" s="79">
        <v>1</v>
      </c>
      <c r="AC1061" s="80" t="str">
        <f>REPLACE(INDEX(GroupVertices[Group],MATCH("~"&amp;Edges[[#This Row],[Vertex 1]],GroupVertices[Vertex],0)),1,1,"")</f>
        <v>1</v>
      </c>
      <c r="AD1061" s="80" t="str">
        <f>REPLACE(INDEX(GroupVertices[Group],MATCH("~"&amp;Edges[[#This Row],[Vertex 2]],GroupVertices[Vertex],0)),1,1,"")</f>
        <v>1</v>
      </c>
      <c r="AE1061" s="105"/>
      <c r="AF1061" s="105"/>
      <c r="AG1061" s="105"/>
      <c r="AH1061" s="105"/>
      <c r="AI1061" s="105"/>
      <c r="AJ1061" s="105"/>
      <c r="AK1061" s="105"/>
      <c r="AL1061" s="105"/>
      <c r="AM1061" s="105"/>
    </row>
    <row r="1062" spans="1:39" ht="15">
      <c r="A1062" s="62" t="s">
        <v>284</v>
      </c>
      <c r="B1062" s="62" t="s">
        <v>256</v>
      </c>
      <c r="C1062" s="63" t="s">
        <v>3598</v>
      </c>
      <c r="D1062" s="64">
        <v>5</v>
      </c>
      <c r="E1062" s="65" t="s">
        <v>132</v>
      </c>
      <c r="F1062" s="66">
        <v>32</v>
      </c>
      <c r="G1062" s="63"/>
      <c r="H1062" s="67"/>
      <c r="I1062" s="68"/>
      <c r="J1062" s="68"/>
      <c r="K1062" s="31" t="s">
        <v>65</v>
      </c>
      <c r="L1062" s="76">
        <v>1062</v>
      </c>
      <c r="M1062" s="76"/>
      <c r="N1062" s="70"/>
      <c r="O1062" s="78" t="s">
        <v>305</v>
      </c>
      <c r="P1062" s="78" t="s">
        <v>501</v>
      </c>
      <c r="Q1062" s="78" t="s">
        <v>1002</v>
      </c>
      <c r="R1062" s="78" t="s">
        <v>995</v>
      </c>
      <c r="S1062" s="78"/>
      <c r="T1062" s="78"/>
      <c r="U1062" s="78"/>
      <c r="V1062" s="78"/>
      <c r="W1062" s="81" t="s">
        <v>1674</v>
      </c>
      <c r="X1062" s="81" t="s">
        <v>1674</v>
      </c>
      <c r="Y1062" s="78"/>
      <c r="Z1062" s="78"/>
      <c r="AA1062" s="81" t="s">
        <v>1674</v>
      </c>
      <c r="AB1062" s="79">
        <v>1</v>
      </c>
      <c r="AC1062" s="80" t="str">
        <f>REPLACE(INDEX(GroupVertices[Group],MATCH("~"&amp;Edges[[#This Row],[Vertex 1]],GroupVertices[Vertex],0)),1,1,"")</f>
        <v>1</v>
      </c>
      <c r="AD1062" s="80" t="str">
        <f>REPLACE(INDEX(GroupVertices[Group],MATCH("~"&amp;Edges[[#This Row],[Vertex 2]],GroupVertices[Vertex],0)),1,1,"")</f>
        <v>1</v>
      </c>
      <c r="AE1062" s="105"/>
      <c r="AF1062" s="105"/>
      <c r="AG1062" s="105"/>
      <c r="AH1062" s="105"/>
      <c r="AI1062" s="105"/>
      <c r="AJ1062" s="105"/>
      <c r="AK1062" s="105"/>
      <c r="AL1062" s="105"/>
      <c r="AM1062" s="105"/>
    </row>
    <row r="1063" spans="1:39" ht="15">
      <c r="A1063" s="62" t="s">
        <v>287</v>
      </c>
      <c r="B1063" s="62" t="s">
        <v>256</v>
      </c>
      <c r="C1063" s="63" t="s">
        <v>3598</v>
      </c>
      <c r="D1063" s="64">
        <v>5.2631578947368425</v>
      </c>
      <c r="E1063" s="65" t="s">
        <v>136</v>
      </c>
      <c r="F1063" s="66">
        <v>31.50943396226415</v>
      </c>
      <c r="G1063" s="63"/>
      <c r="H1063" s="67"/>
      <c r="I1063" s="68"/>
      <c r="J1063" s="68"/>
      <c r="K1063" s="31" t="s">
        <v>65</v>
      </c>
      <c r="L1063" s="76">
        <v>1063</v>
      </c>
      <c r="M1063" s="76"/>
      <c r="N1063" s="70"/>
      <c r="O1063" s="78" t="s">
        <v>305</v>
      </c>
      <c r="P1063" s="78" t="s">
        <v>587</v>
      </c>
      <c r="Q1063" s="78" t="s">
        <v>1154</v>
      </c>
      <c r="R1063" s="78" t="s">
        <v>1150</v>
      </c>
      <c r="S1063" s="78"/>
      <c r="T1063" s="78"/>
      <c r="U1063" s="78"/>
      <c r="V1063" s="78"/>
      <c r="W1063" s="81" t="s">
        <v>1674</v>
      </c>
      <c r="X1063" s="81" t="s">
        <v>1674</v>
      </c>
      <c r="Y1063" s="78"/>
      <c r="Z1063" s="78"/>
      <c r="AA1063" s="81" t="s">
        <v>1674</v>
      </c>
      <c r="AB1063" s="79">
        <v>2</v>
      </c>
      <c r="AC1063" s="80" t="str">
        <f>REPLACE(INDEX(GroupVertices[Group],MATCH("~"&amp;Edges[[#This Row],[Vertex 1]],GroupVertices[Vertex],0)),1,1,"")</f>
        <v>2</v>
      </c>
      <c r="AD1063" s="80" t="str">
        <f>REPLACE(INDEX(GroupVertices[Group],MATCH("~"&amp;Edges[[#This Row],[Vertex 2]],GroupVertices[Vertex],0)),1,1,"")</f>
        <v>1</v>
      </c>
      <c r="AE1063" s="105"/>
      <c r="AF1063" s="105"/>
      <c r="AG1063" s="105"/>
      <c r="AH1063" s="105"/>
      <c r="AI1063" s="105"/>
      <c r="AJ1063" s="105"/>
      <c r="AK1063" s="105"/>
      <c r="AL1063" s="105"/>
      <c r="AM1063" s="105"/>
    </row>
    <row r="1064" spans="1:39" ht="15">
      <c r="A1064" s="62" t="s">
        <v>287</v>
      </c>
      <c r="B1064" s="62" t="s">
        <v>256</v>
      </c>
      <c r="C1064" s="63" t="s">
        <v>3598</v>
      </c>
      <c r="D1064" s="64">
        <v>5.2631578947368425</v>
      </c>
      <c r="E1064" s="65" t="s">
        <v>136</v>
      </c>
      <c r="F1064" s="66">
        <v>31.50943396226415</v>
      </c>
      <c r="G1064" s="63"/>
      <c r="H1064" s="67"/>
      <c r="I1064" s="68"/>
      <c r="J1064" s="68"/>
      <c r="K1064" s="31" t="s">
        <v>65</v>
      </c>
      <c r="L1064" s="76">
        <v>1064</v>
      </c>
      <c r="M1064" s="76"/>
      <c r="N1064" s="70"/>
      <c r="O1064" s="78" t="s">
        <v>305</v>
      </c>
      <c r="P1064" s="78" t="s">
        <v>587</v>
      </c>
      <c r="Q1064" s="78" t="s">
        <v>1154</v>
      </c>
      <c r="R1064" s="78" t="s">
        <v>1153</v>
      </c>
      <c r="S1064" s="78"/>
      <c r="T1064" s="78"/>
      <c r="U1064" s="78"/>
      <c r="V1064" s="78"/>
      <c r="W1064" s="81" t="s">
        <v>1674</v>
      </c>
      <c r="X1064" s="81" t="s">
        <v>1674</v>
      </c>
      <c r="Y1064" s="78"/>
      <c r="Z1064" s="78"/>
      <c r="AA1064" s="81" t="s">
        <v>1674</v>
      </c>
      <c r="AB1064" s="79">
        <v>2</v>
      </c>
      <c r="AC1064" s="80" t="str">
        <f>REPLACE(INDEX(GroupVertices[Group],MATCH("~"&amp;Edges[[#This Row],[Vertex 1]],GroupVertices[Vertex],0)),1,1,"")</f>
        <v>2</v>
      </c>
      <c r="AD1064" s="80" t="str">
        <f>REPLACE(INDEX(GroupVertices[Group],MATCH("~"&amp;Edges[[#This Row],[Vertex 2]],GroupVertices[Vertex],0)),1,1,"")</f>
        <v>1</v>
      </c>
      <c r="AE1064" s="105"/>
      <c r="AF1064" s="105"/>
      <c r="AG1064" s="105"/>
      <c r="AH1064" s="105"/>
      <c r="AI1064" s="105"/>
      <c r="AJ1064" s="105"/>
      <c r="AK1064" s="105"/>
      <c r="AL1064" s="105"/>
      <c r="AM1064" s="105"/>
    </row>
    <row r="1065" spans="1:39" ht="15">
      <c r="A1065" s="62" t="s">
        <v>271</v>
      </c>
      <c r="B1065" s="62" t="s">
        <v>249</v>
      </c>
      <c r="C1065" s="63" t="s">
        <v>3598</v>
      </c>
      <c r="D1065" s="64">
        <v>5.2631578947368425</v>
      </c>
      <c r="E1065" s="65" t="s">
        <v>136</v>
      </c>
      <c r="F1065" s="66">
        <v>31.50943396226415</v>
      </c>
      <c r="G1065" s="63"/>
      <c r="H1065" s="67"/>
      <c r="I1065" s="68"/>
      <c r="J1065" s="68"/>
      <c r="K1065" s="31" t="s">
        <v>65</v>
      </c>
      <c r="L1065" s="76">
        <v>1065</v>
      </c>
      <c r="M1065" s="76"/>
      <c r="N1065" s="70"/>
      <c r="O1065" s="78" t="s">
        <v>305</v>
      </c>
      <c r="P1065" s="78" t="s">
        <v>602</v>
      </c>
      <c r="Q1065" s="78" t="s">
        <v>1169</v>
      </c>
      <c r="R1065" s="78" t="s">
        <v>1594</v>
      </c>
      <c r="S1065" s="78"/>
      <c r="T1065" s="78"/>
      <c r="U1065" s="78"/>
      <c r="V1065" s="78"/>
      <c r="W1065" s="81" t="s">
        <v>1674</v>
      </c>
      <c r="X1065" s="81" t="s">
        <v>1674</v>
      </c>
      <c r="Y1065" s="78"/>
      <c r="Z1065" s="78"/>
      <c r="AA1065" s="81" t="s">
        <v>1674</v>
      </c>
      <c r="AB1065" s="79">
        <v>2</v>
      </c>
      <c r="AC1065" s="80" t="str">
        <f>REPLACE(INDEX(GroupVertices[Group],MATCH("~"&amp;Edges[[#This Row],[Vertex 1]],GroupVertices[Vertex],0)),1,1,"")</f>
        <v>2</v>
      </c>
      <c r="AD1065" s="80" t="str">
        <f>REPLACE(INDEX(GroupVertices[Group],MATCH("~"&amp;Edges[[#This Row],[Vertex 2]],GroupVertices[Vertex],0)),1,1,"")</f>
        <v>2</v>
      </c>
      <c r="AE1065" s="105"/>
      <c r="AF1065" s="105"/>
      <c r="AG1065" s="105"/>
      <c r="AH1065" s="105"/>
      <c r="AI1065" s="105"/>
      <c r="AJ1065" s="105"/>
      <c r="AK1065" s="105"/>
      <c r="AL1065" s="105"/>
      <c r="AM1065" s="105"/>
    </row>
    <row r="1066" spans="1:39" ht="15">
      <c r="A1066" s="62" t="s">
        <v>271</v>
      </c>
      <c r="B1066" s="62" t="s">
        <v>249</v>
      </c>
      <c r="C1066" s="63" t="s">
        <v>3598</v>
      </c>
      <c r="D1066" s="64">
        <v>5.2631578947368425</v>
      </c>
      <c r="E1066" s="65" t="s">
        <v>136</v>
      </c>
      <c r="F1066" s="66">
        <v>31.50943396226415</v>
      </c>
      <c r="G1066" s="63"/>
      <c r="H1066" s="67"/>
      <c r="I1066" s="68"/>
      <c r="J1066" s="68"/>
      <c r="K1066" s="31" t="s">
        <v>65</v>
      </c>
      <c r="L1066" s="76">
        <v>1066</v>
      </c>
      <c r="M1066" s="76"/>
      <c r="N1066" s="70"/>
      <c r="O1066" s="78" t="s">
        <v>305</v>
      </c>
      <c r="P1066" s="78" t="s">
        <v>602</v>
      </c>
      <c r="Q1066" s="78" t="s">
        <v>1169</v>
      </c>
      <c r="R1066" s="78" t="s">
        <v>1595</v>
      </c>
      <c r="S1066" s="78"/>
      <c r="T1066" s="78"/>
      <c r="U1066" s="78"/>
      <c r="V1066" s="78"/>
      <c r="W1066" s="81" t="s">
        <v>1674</v>
      </c>
      <c r="X1066" s="81" t="s">
        <v>1674</v>
      </c>
      <c r="Y1066" s="78"/>
      <c r="Z1066" s="78"/>
      <c r="AA1066" s="81" t="s">
        <v>1674</v>
      </c>
      <c r="AB1066" s="79">
        <v>2</v>
      </c>
      <c r="AC1066" s="80" t="str">
        <f>REPLACE(INDEX(GroupVertices[Group],MATCH("~"&amp;Edges[[#This Row],[Vertex 1]],GroupVertices[Vertex],0)),1,1,"")</f>
        <v>2</v>
      </c>
      <c r="AD1066" s="80" t="str">
        <f>REPLACE(INDEX(GroupVertices[Group],MATCH("~"&amp;Edges[[#This Row],[Vertex 2]],GroupVertices[Vertex],0)),1,1,"")</f>
        <v>2</v>
      </c>
      <c r="AE1066" s="105"/>
      <c r="AF1066" s="105"/>
      <c r="AG1066" s="105"/>
      <c r="AH1066" s="105"/>
      <c r="AI1066" s="105"/>
      <c r="AJ1066" s="105"/>
      <c r="AK1066" s="105"/>
      <c r="AL1066" s="105"/>
      <c r="AM1066" s="105"/>
    </row>
    <row r="1067" spans="1:39" ht="15">
      <c r="A1067" s="62" t="s">
        <v>287</v>
      </c>
      <c r="B1067" s="62" t="s">
        <v>271</v>
      </c>
      <c r="C1067" s="63" t="s">
        <v>3598</v>
      </c>
      <c r="D1067" s="64">
        <v>5</v>
      </c>
      <c r="E1067" s="65" t="s">
        <v>132</v>
      </c>
      <c r="F1067" s="66">
        <v>32</v>
      </c>
      <c r="G1067" s="63"/>
      <c r="H1067" s="67"/>
      <c r="I1067" s="68"/>
      <c r="J1067" s="68"/>
      <c r="K1067" s="31" t="s">
        <v>65</v>
      </c>
      <c r="L1067" s="76">
        <v>1067</v>
      </c>
      <c r="M1067" s="76"/>
      <c r="N1067" s="70"/>
      <c r="O1067" s="78" t="s">
        <v>305</v>
      </c>
      <c r="P1067" s="78" t="s">
        <v>603</v>
      </c>
      <c r="Q1067" s="78" t="s">
        <v>1170</v>
      </c>
      <c r="R1067" s="78" t="s">
        <v>1596</v>
      </c>
      <c r="S1067" s="78"/>
      <c r="T1067" s="78"/>
      <c r="U1067" s="78"/>
      <c r="V1067" s="78"/>
      <c r="W1067" s="81" t="s">
        <v>1674</v>
      </c>
      <c r="X1067" s="81" t="s">
        <v>1674</v>
      </c>
      <c r="Y1067" s="78"/>
      <c r="Z1067" s="78"/>
      <c r="AA1067" s="81" t="s">
        <v>1674</v>
      </c>
      <c r="AB1067" s="79">
        <v>1</v>
      </c>
      <c r="AC1067" s="80" t="str">
        <f>REPLACE(INDEX(GroupVertices[Group],MATCH("~"&amp;Edges[[#This Row],[Vertex 1]],GroupVertices[Vertex],0)),1,1,"")</f>
        <v>2</v>
      </c>
      <c r="AD1067" s="80" t="str">
        <f>REPLACE(INDEX(GroupVertices[Group],MATCH("~"&amp;Edges[[#This Row],[Vertex 2]],GroupVertices[Vertex],0)),1,1,"")</f>
        <v>2</v>
      </c>
      <c r="AE1067" s="105"/>
      <c r="AF1067" s="105"/>
      <c r="AG1067" s="105"/>
      <c r="AH1067" s="105"/>
      <c r="AI1067" s="105"/>
      <c r="AJ1067" s="105"/>
      <c r="AK1067" s="105"/>
      <c r="AL1067" s="105"/>
      <c r="AM1067" s="105"/>
    </row>
    <row r="1068" spans="1:39" ht="15">
      <c r="A1068" s="62" t="s">
        <v>287</v>
      </c>
      <c r="B1068" s="62" t="s">
        <v>246</v>
      </c>
      <c r="C1068" s="63" t="s">
        <v>3598</v>
      </c>
      <c r="D1068" s="64">
        <v>5</v>
      </c>
      <c r="E1068" s="65" t="s">
        <v>132</v>
      </c>
      <c r="F1068" s="66">
        <v>32</v>
      </c>
      <c r="G1068" s="63"/>
      <c r="H1068" s="67"/>
      <c r="I1068" s="68"/>
      <c r="J1068" s="68"/>
      <c r="K1068" s="31" t="s">
        <v>65</v>
      </c>
      <c r="L1068" s="76">
        <v>1068</v>
      </c>
      <c r="M1068" s="76"/>
      <c r="N1068" s="70"/>
      <c r="O1068" s="78" t="s">
        <v>305</v>
      </c>
      <c r="P1068" s="78" t="s">
        <v>604</v>
      </c>
      <c r="Q1068" s="78" t="s">
        <v>1171</v>
      </c>
      <c r="R1068" s="78" t="s">
        <v>1597</v>
      </c>
      <c r="S1068" s="78"/>
      <c r="T1068" s="78"/>
      <c r="U1068" s="78"/>
      <c r="V1068" s="78"/>
      <c r="W1068" s="81" t="s">
        <v>1674</v>
      </c>
      <c r="X1068" s="81" t="s">
        <v>1674</v>
      </c>
      <c r="Y1068" s="78"/>
      <c r="Z1068" s="78"/>
      <c r="AA1068" s="81" t="s">
        <v>1674</v>
      </c>
      <c r="AB1068" s="79">
        <v>1</v>
      </c>
      <c r="AC1068" s="80" t="str">
        <f>REPLACE(INDEX(GroupVertices[Group],MATCH("~"&amp;Edges[[#This Row],[Vertex 1]],GroupVertices[Vertex],0)),1,1,"")</f>
        <v>2</v>
      </c>
      <c r="AD1068" s="80" t="str">
        <f>REPLACE(INDEX(GroupVertices[Group],MATCH("~"&amp;Edges[[#This Row],[Vertex 2]],GroupVertices[Vertex],0)),1,1,"")</f>
        <v>3</v>
      </c>
      <c r="AE1068" s="105"/>
      <c r="AF1068" s="105"/>
      <c r="AG1068" s="105"/>
      <c r="AH1068" s="105"/>
      <c r="AI1068" s="105"/>
      <c r="AJ1068" s="105"/>
      <c r="AK1068" s="105"/>
      <c r="AL1068" s="105"/>
      <c r="AM1068" s="105"/>
    </row>
    <row r="1069" spans="1:39" ht="15">
      <c r="A1069" s="62" t="s">
        <v>287</v>
      </c>
      <c r="B1069" s="62" t="s">
        <v>280</v>
      </c>
      <c r="C1069" s="63" t="s">
        <v>3598</v>
      </c>
      <c r="D1069" s="64">
        <v>5</v>
      </c>
      <c r="E1069" s="65" t="s">
        <v>132</v>
      </c>
      <c r="F1069" s="66">
        <v>32</v>
      </c>
      <c r="G1069" s="63"/>
      <c r="H1069" s="67"/>
      <c r="I1069" s="68"/>
      <c r="J1069" s="68"/>
      <c r="K1069" s="31" t="s">
        <v>65</v>
      </c>
      <c r="L1069" s="76">
        <v>1069</v>
      </c>
      <c r="M1069" s="76"/>
      <c r="N1069" s="70"/>
      <c r="O1069" s="78" t="s">
        <v>305</v>
      </c>
      <c r="P1069" s="78" t="s">
        <v>580</v>
      </c>
      <c r="Q1069" s="78" t="s">
        <v>1132</v>
      </c>
      <c r="R1069" s="78" t="s">
        <v>1131</v>
      </c>
      <c r="S1069" s="78"/>
      <c r="T1069" s="78"/>
      <c r="U1069" s="78"/>
      <c r="V1069" s="78"/>
      <c r="W1069" s="81" t="s">
        <v>1674</v>
      </c>
      <c r="X1069" s="81" t="s">
        <v>1674</v>
      </c>
      <c r="Y1069" s="78"/>
      <c r="Z1069" s="78"/>
      <c r="AA1069" s="81" t="s">
        <v>1674</v>
      </c>
      <c r="AB1069" s="79">
        <v>1</v>
      </c>
      <c r="AC1069" s="80" t="str">
        <f>REPLACE(INDEX(GroupVertices[Group],MATCH("~"&amp;Edges[[#This Row],[Vertex 1]],GroupVertices[Vertex],0)),1,1,"")</f>
        <v>2</v>
      </c>
      <c r="AD1069" s="80" t="str">
        <f>REPLACE(INDEX(GroupVertices[Group],MATCH("~"&amp;Edges[[#This Row],[Vertex 2]],GroupVertices[Vertex],0)),1,1,"")</f>
        <v>3</v>
      </c>
      <c r="AE1069" s="105"/>
      <c r="AF1069" s="105"/>
      <c r="AG1069" s="105"/>
      <c r="AH1069" s="105"/>
      <c r="AI1069" s="105"/>
      <c r="AJ1069" s="105"/>
      <c r="AK1069" s="105"/>
      <c r="AL1069" s="105"/>
      <c r="AM1069" s="105"/>
    </row>
    <row r="1070" spans="1:39" ht="15">
      <c r="A1070" s="62" t="s">
        <v>249</v>
      </c>
      <c r="B1070" s="62" t="s">
        <v>294</v>
      </c>
      <c r="C1070" s="63" t="s">
        <v>3612</v>
      </c>
      <c r="D1070" s="64">
        <v>10</v>
      </c>
      <c r="E1070" s="65" t="s">
        <v>136</v>
      </c>
      <c r="F1070" s="66">
        <v>22.67924528301887</v>
      </c>
      <c r="G1070" s="63"/>
      <c r="H1070" s="67"/>
      <c r="I1070" s="68"/>
      <c r="J1070" s="68"/>
      <c r="K1070" s="31" t="s">
        <v>65</v>
      </c>
      <c r="L1070" s="76">
        <v>1070</v>
      </c>
      <c r="M1070" s="76"/>
      <c r="N1070" s="70"/>
      <c r="O1070" s="78" t="s">
        <v>305</v>
      </c>
      <c r="P1070" s="78" t="s">
        <v>434</v>
      </c>
      <c r="Q1070" s="78" t="s">
        <v>868</v>
      </c>
      <c r="R1070" s="78" t="s">
        <v>1406</v>
      </c>
      <c r="S1070" s="78"/>
      <c r="T1070" s="78"/>
      <c r="U1070" s="78"/>
      <c r="V1070" s="78"/>
      <c r="W1070" s="81" t="s">
        <v>1674</v>
      </c>
      <c r="X1070" s="81" t="s">
        <v>1674</v>
      </c>
      <c r="Y1070" s="78"/>
      <c r="Z1070" s="78"/>
      <c r="AA1070" s="81" t="s">
        <v>1674</v>
      </c>
      <c r="AB1070" s="79">
        <v>20</v>
      </c>
      <c r="AC1070" s="80" t="str">
        <f>REPLACE(INDEX(GroupVertices[Group],MATCH("~"&amp;Edges[[#This Row],[Vertex 1]],GroupVertices[Vertex],0)),1,1,"")</f>
        <v>2</v>
      </c>
      <c r="AD1070" s="80" t="str">
        <f>REPLACE(INDEX(GroupVertices[Group],MATCH("~"&amp;Edges[[#This Row],[Vertex 2]],GroupVertices[Vertex],0)),1,1,"")</f>
        <v>2</v>
      </c>
      <c r="AE1070" s="105"/>
      <c r="AF1070" s="105"/>
      <c r="AG1070" s="105"/>
      <c r="AH1070" s="105"/>
      <c r="AI1070" s="105"/>
      <c r="AJ1070" s="105"/>
      <c r="AK1070" s="105"/>
      <c r="AL1070" s="105"/>
      <c r="AM1070" s="105"/>
    </row>
    <row r="1071" spans="1:39" ht="15">
      <c r="A1071" s="62" t="s">
        <v>249</v>
      </c>
      <c r="B1071" s="62" t="s">
        <v>294</v>
      </c>
      <c r="C1071" s="63" t="s">
        <v>3612</v>
      </c>
      <c r="D1071" s="64">
        <v>10</v>
      </c>
      <c r="E1071" s="65" t="s">
        <v>136</v>
      </c>
      <c r="F1071" s="66">
        <v>22.67924528301887</v>
      </c>
      <c r="G1071" s="63"/>
      <c r="H1071" s="67"/>
      <c r="I1071" s="68"/>
      <c r="J1071" s="68"/>
      <c r="K1071" s="31" t="s">
        <v>65</v>
      </c>
      <c r="L1071" s="76">
        <v>1071</v>
      </c>
      <c r="M1071" s="76"/>
      <c r="N1071" s="70"/>
      <c r="O1071" s="78" t="s">
        <v>305</v>
      </c>
      <c r="P1071" s="78" t="s">
        <v>434</v>
      </c>
      <c r="Q1071" s="78" t="s">
        <v>869</v>
      </c>
      <c r="R1071" s="78" t="s">
        <v>1406</v>
      </c>
      <c r="S1071" s="78"/>
      <c r="T1071" s="78"/>
      <c r="U1071" s="78"/>
      <c r="V1071" s="78"/>
      <c r="W1071" s="81" t="s">
        <v>1674</v>
      </c>
      <c r="X1071" s="81" t="s">
        <v>1674</v>
      </c>
      <c r="Y1071" s="78"/>
      <c r="Z1071" s="78"/>
      <c r="AA1071" s="81" t="s">
        <v>1674</v>
      </c>
      <c r="AB1071" s="79">
        <v>20</v>
      </c>
      <c r="AC1071" s="80" t="str">
        <f>REPLACE(INDEX(GroupVertices[Group],MATCH("~"&amp;Edges[[#This Row],[Vertex 1]],GroupVertices[Vertex],0)),1,1,"")</f>
        <v>2</v>
      </c>
      <c r="AD1071" s="80" t="str">
        <f>REPLACE(INDEX(GroupVertices[Group],MATCH("~"&amp;Edges[[#This Row],[Vertex 2]],GroupVertices[Vertex],0)),1,1,"")</f>
        <v>2</v>
      </c>
      <c r="AE1071" s="105"/>
      <c r="AF1071" s="105"/>
      <c r="AG1071" s="105"/>
      <c r="AH1071" s="105"/>
      <c r="AI1071" s="105"/>
      <c r="AJ1071" s="105"/>
      <c r="AK1071" s="105"/>
      <c r="AL1071" s="105"/>
      <c r="AM1071" s="105"/>
    </row>
    <row r="1072" spans="1:39" ht="15">
      <c r="A1072" s="62" t="s">
        <v>249</v>
      </c>
      <c r="B1072" s="62" t="s">
        <v>294</v>
      </c>
      <c r="C1072" s="63" t="s">
        <v>3612</v>
      </c>
      <c r="D1072" s="64">
        <v>10</v>
      </c>
      <c r="E1072" s="65" t="s">
        <v>136</v>
      </c>
      <c r="F1072" s="66">
        <v>22.67924528301887</v>
      </c>
      <c r="G1072" s="63"/>
      <c r="H1072" s="67"/>
      <c r="I1072" s="68"/>
      <c r="J1072" s="68"/>
      <c r="K1072" s="31" t="s">
        <v>65</v>
      </c>
      <c r="L1072" s="76">
        <v>1072</v>
      </c>
      <c r="M1072" s="76"/>
      <c r="N1072" s="70"/>
      <c r="O1072" s="78" t="s">
        <v>305</v>
      </c>
      <c r="P1072" s="78" t="s">
        <v>522</v>
      </c>
      <c r="Q1072" s="78" t="s">
        <v>1172</v>
      </c>
      <c r="R1072" s="78" t="s">
        <v>1498</v>
      </c>
      <c r="S1072" s="78"/>
      <c r="T1072" s="78"/>
      <c r="U1072" s="78"/>
      <c r="V1072" s="78"/>
      <c r="W1072" s="81" t="s">
        <v>1674</v>
      </c>
      <c r="X1072" s="81" t="s">
        <v>1674</v>
      </c>
      <c r="Y1072" s="78"/>
      <c r="Z1072" s="78"/>
      <c r="AA1072" s="81" t="s">
        <v>1674</v>
      </c>
      <c r="AB1072" s="79">
        <v>20</v>
      </c>
      <c r="AC1072" s="80" t="str">
        <f>REPLACE(INDEX(GroupVertices[Group],MATCH("~"&amp;Edges[[#This Row],[Vertex 1]],GroupVertices[Vertex],0)),1,1,"")</f>
        <v>2</v>
      </c>
      <c r="AD1072" s="80" t="str">
        <f>REPLACE(INDEX(GroupVertices[Group],MATCH("~"&amp;Edges[[#This Row],[Vertex 2]],GroupVertices[Vertex],0)),1,1,"")</f>
        <v>2</v>
      </c>
      <c r="AE1072" s="105"/>
      <c r="AF1072" s="105"/>
      <c r="AG1072" s="105"/>
      <c r="AH1072" s="105"/>
      <c r="AI1072" s="105"/>
      <c r="AJ1072" s="105"/>
      <c r="AK1072" s="105"/>
      <c r="AL1072" s="105"/>
      <c r="AM1072" s="105"/>
    </row>
    <row r="1073" spans="1:39" ht="15">
      <c r="A1073" s="62" t="s">
        <v>249</v>
      </c>
      <c r="B1073" s="62" t="s">
        <v>294</v>
      </c>
      <c r="C1073" s="63" t="s">
        <v>3612</v>
      </c>
      <c r="D1073" s="64">
        <v>10</v>
      </c>
      <c r="E1073" s="65" t="s">
        <v>136</v>
      </c>
      <c r="F1073" s="66">
        <v>22.67924528301887</v>
      </c>
      <c r="G1073" s="63"/>
      <c r="H1073" s="67"/>
      <c r="I1073" s="68"/>
      <c r="J1073" s="68"/>
      <c r="K1073" s="31" t="s">
        <v>65</v>
      </c>
      <c r="L1073" s="76">
        <v>1073</v>
      </c>
      <c r="M1073" s="76"/>
      <c r="N1073" s="70"/>
      <c r="O1073" s="78" t="s">
        <v>305</v>
      </c>
      <c r="P1073" s="78" t="s">
        <v>434</v>
      </c>
      <c r="Q1073" s="78" t="s">
        <v>870</v>
      </c>
      <c r="R1073" s="78" t="s">
        <v>1406</v>
      </c>
      <c r="S1073" s="78"/>
      <c r="T1073" s="78"/>
      <c r="U1073" s="78"/>
      <c r="V1073" s="78"/>
      <c r="W1073" s="81" t="s">
        <v>1674</v>
      </c>
      <c r="X1073" s="81" t="s">
        <v>1674</v>
      </c>
      <c r="Y1073" s="78"/>
      <c r="Z1073" s="78"/>
      <c r="AA1073" s="81" t="s">
        <v>1674</v>
      </c>
      <c r="AB1073" s="79">
        <v>20</v>
      </c>
      <c r="AC1073" s="80" t="str">
        <f>REPLACE(INDEX(GroupVertices[Group],MATCH("~"&amp;Edges[[#This Row],[Vertex 1]],GroupVertices[Vertex],0)),1,1,"")</f>
        <v>2</v>
      </c>
      <c r="AD1073" s="80" t="str">
        <f>REPLACE(INDEX(GroupVertices[Group],MATCH("~"&amp;Edges[[#This Row],[Vertex 2]],GroupVertices[Vertex],0)),1,1,"")</f>
        <v>2</v>
      </c>
      <c r="AE1073" s="105"/>
      <c r="AF1073" s="105"/>
      <c r="AG1073" s="105"/>
      <c r="AH1073" s="105"/>
      <c r="AI1073" s="105"/>
      <c r="AJ1073" s="105"/>
      <c r="AK1073" s="105"/>
      <c r="AL1073" s="105"/>
      <c r="AM1073" s="105"/>
    </row>
    <row r="1074" spans="1:39" ht="15">
      <c r="A1074" s="62" t="s">
        <v>249</v>
      </c>
      <c r="B1074" s="62" t="s">
        <v>294</v>
      </c>
      <c r="C1074" s="63" t="s">
        <v>3612</v>
      </c>
      <c r="D1074" s="64">
        <v>10</v>
      </c>
      <c r="E1074" s="65" t="s">
        <v>136</v>
      </c>
      <c r="F1074" s="66">
        <v>22.67924528301887</v>
      </c>
      <c r="G1074" s="63"/>
      <c r="H1074" s="67"/>
      <c r="I1074" s="68"/>
      <c r="J1074" s="68"/>
      <c r="K1074" s="31" t="s">
        <v>65</v>
      </c>
      <c r="L1074" s="76">
        <v>1074</v>
      </c>
      <c r="M1074" s="76"/>
      <c r="N1074" s="70"/>
      <c r="O1074" s="78" t="s">
        <v>305</v>
      </c>
      <c r="P1074" s="78" t="s">
        <v>522</v>
      </c>
      <c r="Q1074" s="78" t="s">
        <v>1173</v>
      </c>
      <c r="R1074" s="78" t="s">
        <v>1498</v>
      </c>
      <c r="S1074" s="78"/>
      <c r="T1074" s="78"/>
      <c r="U1074" s="78"/>
      <c r="V1074" s="78"/>
      <c r="W1074" s="81" t="s">
        <v>1674</v>
      </c>
      <c r="X1074" s="81" t="s">
        <v>1674</v>
      </c>
      <c r="Y1074" s="78"/>
      <c r="Z1074" s="78"/>
      <c r="AA1074" s="81" t="s">
        <v>1674</v>
      </c>
      <c r="AB1074" s="79">
        <v>20</v>
      </c>
      <c r="AC1074" s="80" t="str">
        <f>REPLACE(INDEX(GroupVertices[Group],MATCH("~"&amp;Edges[[#This Row],[Vertex 1]],GroupVertices[Vertex],0)),1,1,"")</f>
        <v>2</v>
      </c>
      <c r="AD1074" s="80" t="str">
        <f>REPLACE(INDEX(GroupVertices[Group],MATCH("~"&amp;Edges[[#This Row],[Vertex 2]],GroupVertices[Vertex],0)),1,1,"")</f>
        <v>2</v>
      </c>
      <c r="AE1074" s="105"/>
      <c r="AF1074" s="105"/>
      <c r="AG1074" s="105"/>
      <c r="AH1074" s="105"/>
      <c r="AI1074" s="105"/>
      <c r="AJ1074" s="105"/>
      <c r="AK1074" s="105"/>
      <c r="AL1074" s="105"/>
      <c r="AM1074" s="105"/>
    </row>
    <row r="1075" spans="1:39" ht="15">
      <c r="A1075" s="62" t="s">
        <v>249</v>
      </c>
      <c r="B1075" s="62" t="s">
        <v>294</v>
      </c>
      <c r="C1075" s="63" t="s">
        <v>3612</v>
      </c>
      <c r="D1075" s="64">
        <v>10</v>
      </c>
      <c r="E1075" s="65" t="s">
        <v>136</v>
      </c>
      <c r="F1075" s="66">
        <v>22.67924528301887</v>
      </c>
      <c r="G1075" s="63"/>
      <c r="H1075" s="67"/>
      <c r="I1075" s="68"/>
      <c r="J1075" s="68"/>
      <c r="K1075" s="31" t="s">
        <v>65</v>
      </c>
      <c r="L1075" s="76">
        <v>1075</v>
      </c>
      <c r="M1075" s="76"/>
      <c r="N1075" s="70"/>
      <c r="O1075" s="78" t="s">
        <v>305</v>
      </c>
      <c r="P1075" s="78" t="s">
        <v>522</v>
      </c>
      <c r="Q1075" s="78" t="s">
        <v>1174</v>
      </c>
      <c r="R1075" s="78" t="s">
        <v>1498</v>
      </c>
      <c r="S1075" s="78"/>
      <c r="T1075" s="78"/>
      <c r="U1075" s="78"/>
      <c r="V1075" s="78"/>
      <c r="W1075" s="81" t="s">
        <v>1674</v>
      </c>
      <c r="X1075" s="81" t="s">
        <v>1674</v>
      </c>
      <c r="Y1075" s="78"/>
      <c r="Z1075" s="78"/>
      <c r="AA1075" s="81" t="s">
        <v>1674</v>
      </c>
      <c r="AB1075" s="79">
        <v>20</v>
      </c>
      <c r="AC1075" s="80" t="str">
        <f>REPLACE(INDEX(GroupVertices[Group],MATCH("~"&amp;Edges[[#This Row],[Vertex 1]],GroupVertices[Vertex],0)),1,1,"")</f>
        <v>2</v>
      </c>
      <c r="AD1075" s="80" t="str">
        <f>REPLACE(INDEX(GroupVertices[Group],MATCH("~"&amp;Edges[[#This Row],[Vertex 2]],GroupVertices[Vertex],0)),1,1,"")</f>
        <v>2</v>
      </c>
      <c r="AE1075" s="105"/>
      <c r="AF1075" s="105"/>
      <c r="AG1075" s="105"/>
      <c r="AH1075" s="105"/>
      <c r="AI1075" s="105"/>
      <c r="AJ1075" s="105"/>
      <c r="AK1075" s="105"/>
      <c r="AL1075" s="105"/>
      <c r="AM1075" s="105"/>
    </row>
    <row r="1076" spans="1:39" ht="15">
      <c r="A1076" s="62" t="s">
        <v>249</v>
      </c>
      <c r="B1076" s="62" t="s">
        <v>294</v>
      </c>
      <c r="C1076" s="63" t="s">
        <v>3612</v>
      </c>
      <c r="D1076" s="64">
        <v>10</v>
      </c>
      <c r="E1076" s="65" t="s">
        <v>136</v>
      </c>
      <c r="F1076" s="66">
        <v>22.67924528301887</v>
      </c>
      <c r="G1076" s="63"/>
      <c r="H1076" s="67"/>
      <c r="I1076" s="68"/>
      <c r="J1076" s="68"/>
      <c r="K1076" s="31" t="s">
        <v>65</v>
      </c>
      <c r="L1076" s="76">
        <v>1076</v>
      </c>
      <c r="M1076" s="76"/>
      <c r="N1076" s="70"/>
      <c r="O1076" s="78" t="s">
        <v>305</v>
      </c>
      <c r="P1076" s="78" t="s">
        <v>434</v>
      </c>
      <c r="Q1076" s="78" t="s">
        <v>871</v>
      </c>
      <c r="R1076" s="78" t="s">
        <v>1406</v>
      </c>
      <c r="S1076" s="78"/>
      <c r="T1076" s="78"/>
      <c r="U1076" s="78"/>
      <c r="V1076" s="78"/>
      <c r="W1076" s="81" t="s">
        <v>1674</v>
      </c>
      <c r="X1076" s="81" t="s">
        <v>1674</v>
      </c>
      <c r="Y1076" s="78"/>
      <c r="Z1076" s="78"/>
      <c r="AA1076" s="81" t="s">
        <v>1674</v>
      </c>
      <c r="AB1076" s="79">
        <v>20</v>
      </c>
      <c r="AC1076" s="80" t="str">
        <f>REPLACE(INDEX(GroupVertices[Group],MATCH("~"&amp;Edges[[#This Row],[Vertex 1]],GroupVertices[Vertex],0)),1,1,"")</f>
        <v>2</v>
      </c>
      <c r="AD1076" s="80" t="str">
        <f>REPLACE(INDEX(GroupVertices[Group],MATCH("~"&amp;Edges[[#This Row],[Vertex 2]],GroupVertices[Vertex],0)),1,1,"")</f>
        <v>2</v>
      </c>
      <c r="AE1076" s="105"/>
      <c r="AF1076" s="105"/>
      <c r="AG1076" s="105"/>
      <c r="AH1076" s="105"/>
      <c r="AI1076" s="105"/>
      <c r="AJ1076" s="105"/>
      <c r="AK1076" s="105"/>
      <c r="AL1076" s="105"/>
      <c r="AM1076" s="105"/>
    </row>
    <row r="1077" spans="1:39" ht="15">
      <c r="A1077" s="62" t="s">
        <v>249</v>
      </c>
      <c r="B1077" s="62" t="s">
        <v>294</v>
      </c>
      <c r="C1077" s="63" t="s">
        <v>3612</v>
      </c>
      <c r="D1077" s="64">
        <v>10</v>
      </c>
      <c r="E1077" s="65" t="s">
        <v>136</v>
      </c>
      <c r="F1077" s="66">
        <v>22.67924528301887</v>
      </c>
      <c r="G1077" s="63"/>
      <c r="H1077" s="67"/>
      <c r="I1077" s="68"/>
      <c r="J1077" s="68"/>
      <c r="K1077" s="31" t="s">
        <v>65</v>
      </c>
      <c r="L1077" s="76">
        <v>1077</v>
      </c>
      <c r="M1077" s="76"/>
      <c r="N1077" s="70"/>
      <c r="O1077" s="78" t="s">
        <v>305</v>
      </c>
      <c r="P1077" s="78" t="s">
        <v>522</v>
      </c>
      <c r="Q1077" s="78" t="s">
        <v>1175</v>
      </c>
      <c r="R1077" s="78" t="s">
        <v>1498</v>
      </c>
      <c r="S1077" s="78"/>
      <c r="T1077" s="78"/>
      <c r="U1077" s="78"/>
      <c r="V1077" s="78"/>
      <c r="W1077" s="81" t="s">
        <v>1674</v>
      </c>
      <c r="X1077" s="81" t="s">
        <v>1674</v>
      </c>
      <c r="Y1077" s="78"/>
      <c r="Z1077" s="78"/>
      <c r="AA1077" s="81" t="s">
        <v>1674</v>
      </c>
      <c r="AB1077" s="79">
        <v>20</v>
      </c>
      <c r="AC1077" s="80" t="str">
        <f>REPLACE(INDEX(GroupVertices[Group],MATCH("~"&amp;Edges[[#This Row],[Vertex 1]],GroupVertices[Vertex],0)),1,1,"")</f>
        <v>2</v>
      </c>
      <c r="AD1077" s="80" t="str">
        <f>REPLACE(INDEX(GroupVertices[Group],MATCH("~"&amp;Edges[[#This Row],[Vertex 2]],GroupVertices[Vertex],0)),1,1,"")</f>
        <v>2</v>
      </c>
      <c r="AE1077" s="105"/>
      <c r="AF1077" s="105"/>
      <c r="AG1077" s="105"/>
      <c r="AH1077" s="105"/>
      <c r="AI1077" s="105"/>
      <c r="AJ1077" s="105"/>
      <c r="AK1077" s="105"/>
      <c r="AL1077" s="105"/>
      <c r="AM1077" s="105"/>
    </row>
    <row r="1078" spans="1:39" ht="15">
      <c r="A1078" s="62" t="s">
        <v>249</v>
      </c>
      <c r="B1078" s="62" t="s">
        <v>294</v>
      </c>
      <c r="C1078" s="63" t="s">
        <v>3612</v>
      </c>
      <c r="D1078" s="64">
        <v>10</v>
      </c>
      <c r="E1078" s="65" t="s">
        <v>136</v>
      </c>
      <c r="F1078" s="66">
        <v>22.67924528301887</v>
      </c>
      <c r="G1078" s="63"/>
      <c r="H1078" s="67"/>
      <c r="I1078" s="68"/>
      <c r="J1078" s="68"/>
      <c r="K1078" s="31" t="s">
        <v>65</v>
      </c>
      <c r="L1078" s="76">
        <v>1078</v>
      </c>
      <c r="M1078" s="76"/>
      <c r="N1078" s="70"/>
      <c r="O1078" s="78" t="s">
        <v>305</v>
      </c>
      <c r="P1078" s="78" t="s">
        <v>434</v>
      </c>
      <c r="Q1078" s="78" t="s">
        <v>872</v>
      </c>
      <c r="R1078" s="78" t="s">
        <v>1406</v>
      </c>
      <c r="S1078" s="78"/>
      <c r="T1078" s="78"/>
      <c r="U1078" s="78"/>
      <c r="V1078" s="78"/>
      <c r="W1078" s="81" t="s">
        <v>1674</v>
      </c>
      <c r="X1078" s="81" t="s">
        <v>1674</v>
      </c>
      <c r="Y1078" s="78"/>
      <c r="Z1078" s="78"/>
      <c r="AA1078" s="81" t="s">
        <v>1674</v>
      </c>
      <c r="AB1078" s="79">
        <v>20</v>
      </c>
      <c r="AC1078" s="80" t="str">
        <f>REPLACE(INDEX(GroupVertices[Group],MATCH("~"&amp;Edges[[#This Row],[Vertex 1]],GroupVertices[Vertex],0)),1,1,"")</f>
        <v>2</v>
      </c>
      <c r="AD1078" s="80" t="str">
        <f>REPLACE(INDEX(GroupVertices[Group],MATCH("~"&amp;Edges[[#This Row],[Vertex 2]],GroupVertices[Vertex],0)),1,1,"")</f>
        <v>2</v>
      </c>
      <c r="AE1078" s="105"/>
      <c r="AF1078" s="105"/>
      <c r="AG1078" s="105"/>
      <c r="AH1078" s="105"/>
      <c r="AI1078" s="105"/>
      <c r="AJ1078" s="105"/>
      <c r="AK1078" s="105"/>
      <c r="AL1078" s="105"/>
      <c r="AM1078" s="105"/>
    </row>
    <row r="1079" spans="1:39" ht="15">
      <c r="A1079" s="62" t="s">
        <v>249</v>
      </c>
      <c r="B1079" s="62" t="s">
        <v>294</v>
      </c>
      <c r="C1079" s="63" t="s">
        <v>3612</v>
      </c>
      <c r="D1079" s="64">
        <v>10</v>
      </c>
      <c r="E1079" s="65" t="s">
        <v>136</v>
      </c>
      <c r="F1079" s="66">
        <v>22.67924528301887</v>
      </c>
      <c r="G1079" s="63"/>
      <c r="H1079" s="67"/>
      <c r="I1079" s="68"/>
      <c r="J1079" s="68"/>
      <c r="K1079" s="31" t="s">
        <v>65</v>
      </c>
      <c r="L1079" s="76">
        <v>1079</v>
      </c>
      <c r="M1079" s="76"/>
      <c r="N1079" s="70"/>
      <c r="O1079" s="78" t="s">
        <v>305</v>
      </c>
      <c r="P1079" s="78" t="s">
        <v>434</v>
      </c>
      <c r="Q1079" s="78" t="s">
        <v>873</v>
      </c>
      <c r="R1079" s="78" t="s">
        <v>1406</v>
      </c>
      <c r="S1079" s="78"/>
      <c r="T1079" s="78"/>
      <c r="U1079" s="78"/>
      <c r="V1079" s="78"/>
      <c r="W1079" s="81" t="s">
        <v>1674</v>
      </c>
      <c r="X1079" s="81" t="s">
        <v>1674</v>
      </c>
      <c r="Y1079" s="78"/>
      <c r="Z1079" s="78"/>
      <c r="AA1079" s="81" t="s">
        <v>1674</v>
      </c>
      <c r="AB1079" s="79">
        <v>20</v>
      </c>
      <c r="AC1079" s="80" t="str">
        <f>REPLACE(INDEX(GroupVertices[Group],MATCH("~"&amp;Edges[[#This Row],[Vertex 1]],GroupVertices[Vertex],0)),1,1,"")</f>
        <v>2</v>
      </c>
      <c r="AD1079" s="80" t="str">
        <f>REPLACE(INDEX(GroupVertices[Group],MATCH("~"&amp;Edges[[#This Row],[Vertex 2]],GroupVertices[Vertex],0)),1,1,"")</f>
        <v>2</v>
      </c>
      <c r="AE1079" s="105"/>
      <c r="AF1079" s="105"/>
      <c r="AG1079" s="105"/>
      <c r="AH1079" s="105"/>
      <c r="AI1079" s="105"/>
      <c r="AJ1079" s="105"/>
      <c r="AK1079" s="105"/>
      <c r="AL1079" s="105"/>
      <c r="AM1079" s="105"/>
    </row>
    <row r="1080" spans="1:39" ht="15">
      <c r="A1080" s="62" t="s">
        <v>249</v>
      </c>
      <c r="B1080" s="62" t="s">
        <v>294</v>
      </c>
      <c r="C1080" s="63" t="s">
        <v>3612</v>
      </c>
      <c r="D1080" s="64">
        <v>10</v>
      </c>
      <c r="E1080" s="65" t="s">
        <v>136</v>
      </c>
      <c r="F1080" s="66">
        <v>22.67924528301887</v>
      </c>
      <c r="G1080" s="63"/>
      <c r="H1080" s="67"/>
      <c r="I1080" s="68"/>
      <c r="J1080" s="68"/>
      <c r="K1080" s="31" t="s">
        <v>65</v>
      </c>
      <c r="L1080" s="76">
        <v>1080</v>
      </c>
      <c r="M1080" s="76"/>
      <c r="N1080" s="70"/>
      <c r="O1080" s="78" t="s">
        <v>305</v>
      </c>
      <c r="P1080" s="78" t="s">
        <v>434</v>
      </c>
      <c r="Q1080" s="78" t="s">
        <v>874</v>
      </c>
      <c r="R1080" s="78" t="s">
        <v>1406</v>
      </c>
      <c r="S1080" s="78"/>
      <c r="T1080" s="78"/>
      <c r="U1080" s="78"/>
      <c r="V1080" s="78"/>
      <c r="W1080" s="81" t="s">
        <v>1674</v>
      </c>
      <c r="X1080" s="81" t="s">
        <v>1674</v>
      </c>
      <c r="Y1080" s="78"/>
      <c r="Z1080" s="78"/>
      <c r="AA1080" s="81" t="s">
        <v>1674</v>
      </c>
      <c r="AB1080" s="79">
        <v>20</v>
      </c>
      <c r="AC1080" s="80" t="str">
        <f>REPLACE(INDEX(GroupVertices[Group],MATCH("~"&amp;Edges[[#This Row],[Vertex 1]],GroupVertices[Vertex],0)),1,1,"")</f>
        <v>2</v>
      </c>
      <c r="AD1080" s="80" t="str">
        <f>REPLACE(INDEX(GroupVertices[Group],MATCH("~"&amp;Edges[[#This Row],[Vertex 2]],GroupVertices[Vertex],0)),1,1,"")</f>
        <v>2</v>
      </c>
      <c r="AE1080" s="105"/>
      <c r="AF1080" s="105"/>
      <c r="AG1080" s="105"/>
      <c r="AH1080" s="105"/>
      <c r="AI1080" s="105"/>
      <c r="AJ1080" s="105"/>
      <c r="AK1080" s="105"/>
      <c r="AL1080" s="105"/>
      <c r="AM1080" s="105"/>
    </row>
    <row r="1081" spans="1:39" ht="15">
      <c r="A1081" s="62" t="s">
        <v>249</v>
      </c>
      <c r="B1081" s="62" t="s">
        <v>294</v>
      </c>
      <c r="C1081" s="63" t="s">
        <v>3612</v>
      </c>
      <c r="D1081" s="64">
        <v>10</v>
      </c>
      <c r="E1081" s="65" t="s">
        <v>136</v>
      </c>
      <c r="F1081" s="66">
        <v>22.67924528301887</v>
      </c>
      <c r="G1081" s="63"/>
      <c r="H1081" s="67"/>
      <c r="I1081" s="68"/>
      <c r="J1081" s="68"/>
      <c r="K1081" s="31" t="s">
        <v>65</v>
      </c>
      <c r="L1081" s="76">
        <v>1081</v>
      </c>
      <c r="M1081" s="76"/>
      <c r="N1081" s="70"/>
      <c r="O1081" s="78" t="s">
        <v>305</v>
      </c>
      <c r="P1081" s="78" t="s">
        <v>522</v>
      </c>
      <c r="Q1081" s="78" t="s">
        <v>1176</v>
      </c>
      <c r="R1081" s="78" t="s">
        <v>1498</v>
      </c>
      <c r="S1081" s="78"/>
      <c r="T1081" s="78"/>
      <c r="U1081" s="78"/>
      <c r="V1081" s="78"/>
      <c r="W1081" s="81" t="s">
        <v>1674</v>
      </c>
      <c r="X1081" s="81" t="s">
        <v>1674</v>
      </c>
      <c r="Y1081" s="78"/>
      <c r="Z1081" s="78"/>
      <c r="AA1081" s="81" t="s">
        <v>1674</v>
      </c>
      <c r="AB1081" s="79">
        <v>20</v>
      </c>
      <c r="AC1081" s="80" t="str">
        <f>REPLACE(INDEX(GroupVertices[Group],MATCH("~"&amp;Edges[[#This Row],[Vertex 1]],GroupVertices[Vertex],0)),1,1,"")</f>
        <v>2</v>
      </c>
      <c r="AD1081" s="80" t="str">
        <f>REPLACE(INDEX(GroupVertices[Group],MATCH("~"&amp;Edges[[#This Row],[Vertex 2]],GroupVertices[Vertex],0)),1,1,"")</f>
        <v>2</v>
      </c>
      <c r="AE1081" s="105"/>
      <c r="AF1081" s="105"/>
      <c r="AG1081" s="105"/>
      <c r="AH1081" s="105"/>
      <c r="AI1081" s="105"/>
      <c r="AJ1081" s="105"/>
      <c r="AK1081" s="105"/>
      <c r="AL1081" s="105"/>
      <c r="AM1081" s="105"/>
    </row>
    <row r="1082" spans="1:39" ht="15">
      <c r="A1082" s="62" t="s">
        <v>249</v>
      </c>
      <c r="B1082" s="62" t="s">
        <v>294</v>
      </c>
      <c r="C1082" s="63" t="s">
        <v>3612</v>
      </c>
      <c r="D1082" s="64">
        <v>10</v>
      </c>
      <c r="E1082" s="65" t="s">
        <v>136</v>
      </c>
      <c r="F1082" s="66">
        <v>22.67924528301887</v>
      </c>
      <c r="G1082" s="63"/>
      <c r="H1082" s="67"/>
      <c r="I1082" s="68"/>
      <c r="J1082" s="68"/>
      <c r="K1082" s="31" t="s">
        <v>65</v>
      </c>
      <c r="L1082" s="76">
        <v>1082</v>
      </c>
      <c r="M1082" s="76"/>
      <c r="N1082" s="70"/>
      <c r="O1082" s="78" t="s">
        <v>305</v>
      </c>
      <c r="P1082" s="78" t="s">
        <v>522</v>
      </c>
      <c r="Q1082" s="78" t="s">
        <v>1177</v>
      </c>
      <c r="R1082" s="78" t="s">
        <v>1498</v>
      </c>
      <c r="S1082" s="78"/>
      <c r="T1082" s="78"/>
      <c r="U1082" s="78"/>
      <c r="V1082" s="78"/>
      <c r="W1082" s="81" t="s">
        <v>1674</v>
      </c>
      <c r="X1082" s="81" t="s">
        <v>1674</v>
      </c>
      <c r="Y1082" s="78"/>
      <c r="Z1082" s="78"/>
      <c r="AA1082" s="81" t="s">
        <v>1674</v>
      </c>
      <c r="AB1082" s="79">
        <v>20</v>
      </c>
      <c r="AC1082" s="80" t="str">
        <f>REPLACE(INDEX(GroupVertices[Group],MATCH("~"&amp;Edges[[#This Row],[Vertex 1]],GroupVertices[Vertex],0)),1,1,"")</f>
        <v>2</v>
      </c>
      <c r="AD1082" s="80" t="str">
        <f>REPLACE(INDEX(GroupVertices[Group],MATCH("~"&amp;Edges[[#This Row],[Vertex 2]],GroupVertices[Vertex],0)),1,1,"")</f>
        <v>2</v>
      </c>
      <c r="AE1082" s="105"/>
      <c r="AF1082" s="105"/>
      <c r="AG1082" s="105"/>
      <c r="AH1082" s="105"/>
      <c r="AI1082" s="105"/>
      <c r="AJ1082" s="105"/>
      <c r="AK1082" s="105"/>
      <c r="AL1082" s="105"/>
      <c r="AM1082" s="105"/>
    </row>
    <row r="1083" spans="1:39" ht="15">
      <c r="A1083" s="62" t="s">
        <v>249</v>
      </c>
      <c r="B1083" s="62" t="s">
        <v>294</v>
      </c>
      <c r="C1083" s="63" t="s">
        <v>3612</v>
      </c>
      <c r="D1083" s="64">
        <v>10</v>
      </c>
      <c r="E1083" s="65" t="s">
        <v>136</v>
      </c>
      <c r="F1083" s="66">
        <v>22.67924528301887</v>
      </c>
      <c r="G1083" s="63"/>
      <c r="H1083" s="67"/>
      <c r="I1083" s="68"/>
      <c r="J1083" s="68"/>
      <c r="K1083" s="31" t="s">
        <v>65</v>
      </c>
      <c r="L1083" s="76">
        <v>1083</v>
      </c>
      <c r="M1083" s="76"/>
      <c r="N1083" s="70"/>
      <c r="O1083" s="78" t="s">
        <v>305</v>
      </c>
      <c r="P1083" s="78" t="s">
        <v>605</v>
      </c>
      <c r="Q1083" s="78" t="s">
        <v>1178</v>
      </c>
      <c r="R1083" s="78" t="s">
        <v>1598</v>
      </c>
      <c r="S1083" s="78"/>
      <c r="T1083" s="78"/>
      <c r="U1083" s="78"/>
      <c r="V1083" s="78"/>
      <c r="W1083" s="81" t="s">
        <v>1674</v>
      </c>
      <c r="X1083" s="81" t="s">
        <v>1674</v>
      </c>
      <c r="Y1083" s="78"/>
      <c r="Z1083" s="78"/>
      <c r="AA1083" s="81" t="s">
        <v>1674</v>
      </c>
      <c r="AB1083" s="79">
        <v>20</v>
      </c>
      <c r="AC1083" s="80" t="str">
        <f>REPLACE(INDEX(GroupVertices[Group],MATCH("~"&amp;Edges[[#This Row],[Vertex 1]],GroupVertices[Vertex],0)),1,1,"")</f>
        <v>2</v>
      </c>
      <c r="AD1083" s="80" t="str">
        <f>REPLACE(INDEX(GroupVertices[Group],MATCH("~"&amp;Edges[[#This Row],[Vertex 2]],GroupVertices[Vertex],0)),1,1,"")</f>
        <v>2</v>
      </c>
      <c r="AE1083" s="105"/>
      <c r="AF1083" s="105"/>
      <c r="AG1083" s="105"/>
      <c r="AH1083" s="105"/>
      <c r="AI1083" s="105"/>
      <c r="AJ1083" s="105"/>
      <c r="AK1083" s="105"/>
      <c r="AL1083" s="105"/>
      <c r="AM1083" s="105"/>
    </row>
    <row r="1084" spans="1:39" ht="15">
      <c r="A1084" s="62" t="s">
        <v>249</v>
      </c>
      <c r="B1084" s="62" t="s">
        <v>294</v>
      </c>
      <c r="C1084" s="63" t="s">
        <v>3612</v>
      </c>
      <c r="D1084" s="64">
        <v>10</v>
      </c>
      <c r="E1084" s="65" t="s">
        <v>136</v>
      </c>
      <c r="F1084" s="66">
        <v>22.67924528301887</v>
      </c>
      <c r="G1084" s="63"/>
      <c r="H1084" s="67"/>
      <c r="I1084" s="68"/>
      <c r="J1084" s="68"/>
      <c r="K1084" s="31" t="s">
        <v>65</v>
      </c>
      <c r="L1084" s="76">
        <v>1084</v>
      </c>
      <c r="M1084" s="76"/>
      <c r="N1084" s="70"/>
      <c r="O1084" s="78" t="s">
        <v>305</v>
      </c>
      <c r="P1084" s="78" t="s">
        <v>605</v>
      </c>
      <c r="Q1084" s="78" t="s">
        <v>1178</v>
      </c>
      <c r="R1084" s="78" t="s">
        <v>1599</v>
      </c>
      <c r="S1084" s="78"/>
      <c r="T1084" s="78"/>
      <c r="U1084" s="78"/>
      <c r="V1084" s="78"/>
      <c r="W1084" s="81" t="s">
        <v>1674</v>
      </c>
      <c r="X1084" s="81" t="s">
        <v>1674</v>
      </c>
      <c r="Y1084" s="78"/>
      <c r="Z1084" s="78"/>
      <c r="AA1084" s="81" t="s">
        <v>1674</v>
      </c>
      <c r="AB1084" s="79">
        <v>20</v>
      </c>
      <c r="AC1084" s="80" t="str">
        <f>REPLACE(INDEX(GroupVertices[Group],MATCH("~"&amp;Edges[[#This Row],[Vertex 1]],GroupVertices[Vertex],0)),1,1,"")</f>
        <v>2</v>
      </c>
      <c r="AD1084" s="80" t="str">
        <f>REPLACE(INDEX(GroupVertices[Group],MATCH("~"&amp;Edges[[#This Row],[Vertex 2]],GroupVertices[Vertex],0)),1,1,"")</f>
        <v>2</v>
      </c>
      <c r="AE1084" s="105"/>
      <c r="AF1084" s="105"/>
      <c r="AG1084" s="105"/>
      <c r="AH1084" s="105"/>
      <c r="AI1084" s="105"/>
      <c r="AJ1084" s="105"/>
      <c r="AK1084" s="105"/>
      <c r="AL1084" s="105"/>
      <c r="AM1084" s="105"/>
    </row>
    <row r="1085" spans="1:39" ht="15">
      <c r="A1085" s="62" t="s">
        <v>249</v>
      </c>
      <c r="B1085" s="62" t="s">
        <v>294</v>
      </c>
      <c r="C1085" s="63" t="s">
        <v>3612</v>
      </c>
      <c r="D1085" s="64">
        <v>10</v>
      </c>
      <c r="E1085" s="65" t="s">
        <v>136</v>
      </c>
      <c r="F1085" s="66">
        <v>22.67924528301887</v>
      </c>
      <c r="G1085" s="63"/>
      <c r="H1085" s="67"/>
      <c r="I1085" s="68"/>
      <c r="J1085" s="68"/>
      <c r="K1085" s="31" t="s">
        <v>65</v>
      </c>
      <c r="L1085" s="76">
        <v>1085</v>
      </c>
      <c r="M1085" s="76"/>
      <c r="N1085" s="70"/>
      <c r="O1085" s="78" t="s">
        <v>305</v>
      </c>
      <c r="P1085" s="78" t="s">
        <v>606</v>
      </c>
      <c r="Q1085" s="78" t="s">
        <v>1179</v>
      </c>
      <c r="R1085" s="78" t="s">
        <v>1600</v>
      </c>
      <c r="S1085" s="78"/>
      <c r="T1085" s="78"/>
      <c r="U1085" s="78"/>
      <c r="V1085" s="78"/>
      <c r="W1085" s="81" t="s">
        <v>1674</v>
      </c>
      <c r="X1085" s="81" t="s">
        <v>1674</v>
      </c>
      <c r="Y1085" s="78"/>
      <c r="Z1085" s="78"/>
      <c r="AA1085" s="81" t="s">
        <v>1674</v>
      </c>
      <c r="AB1085" s="79">
        <v>20</v>
      </c>
      <c r="AC1085" s="80" t="str">
        <f>REPLACE(INDEX(GroupVertices[Group],MATCH("~"&amp;Edges[[#This Row],[Vertex 1]],GroupVertices[Vertex],0)),1,1,"")</f>
        <v>2</v>
      </c>
      <c r="AD1085" s="80" t="str">
        <f>REPLACE(INDEX(GroupVertices[Group],MATCH("~"&amp;Edges[[#This Row],[Vertex 2]],GroupVertices[Vertex],0)),1,1,"")</f>
        <v>2</v>
      </c>
      <c r="AE1085" s="105"/>
      <c r="AF1085" s="105"/>
      <c r="AG1085" s="105"/>
      <c r="AH1085" s="105"/>
      <c r="AI1085" s="105"/>
      <c r="AJ1085" s="105"/>
      <c r="AK1085" s="105"/>
      <c r="AL1085" s="105"/>
      <c r="AM1085" s="105"/>
    </row>
    <row r="1086" spans="1:39" ht="15">
      <c r="A1086" s="62" t="s">
        <v>249</v>
      </c>
      <c r="B1086" s="62" t="s">
        <v>294</v>
      </c>
      <c r="C1086" s="63" t="s">
        <v>3612</v>
      </c>
      <c r="D1086" s="64">
        <v>10</v>
      </c>
      <c r="E1086" s="65" t="s">
        <v>136</v>
      </c>
      <c r="F1086" s="66">
        <v>22.67924528301887</v>
      </c>
      <c r="G1086" s="63"/>
      <c r="H1086" s="67"/>
      <c r="I1086" s="68"/>
      <c r="J1086" s="68"/>
      <c r="K1086" s="31" t="s">
        <v>65</v>
      </c>
      <c r="L1086" s="76">
        <v>1086</v>
      </c>
      <c r="M1086" s="76"/>
      <c r="N1086" s="70"/>
      <c r="O1086" s="78" t="s">
        <v>305</v>
      </c>
      <c r="P1086" s="78" t="s">
        <v>607</v>
      </c>
      <c r="Q1086" s="78" t="s">
        <v>1180</v>
      </c>
      <c r="R1086" s="78" t="s">
        <v>1601</v>
      </c>
      <c r="S1086" s="78"/>
      <c r="T1086" s="78"/>
      <c r="U1086" s="78"/>
      <c r="V1086" s="78"/>
      <c r="W1086" s="81" t="s">
        <v>1674</v>
      </c>
      <c r="X1086" s="81" t="s">
        <v>1674</v>
      </c>
      <c r="Y1086" s="78"/>
      <c r="Z1086" s="78"/>
      <c r="AA1086" s="81" t="s">
        <v>1674</v>
      </c>
      <c r="AB1086" s="79">
        <v>20</v>
      </c>
      <c r="AC1086" s="80" t="str">
        <f>REPLACE(INDEX(GroupVertices[Group],MATCH("~"&amp;Edges[[#This Row],[Vertex 1]],GroupVertices[Vertex],0)),1,1,"")</f>
        <v>2</v>
      </c>
      <c r="AD1086" s="80" t="str">
        <f>REPLACE(INDEX(GroupVertices[Group],MATCH("~"&amp;Edges[[#This Row],[Vertex 2]],GroupVertices[Vertex],0)),1,1,"")</f>
        <v>2</v>
      </c>
      <c r="AE1086" s="105"/>
      <c r="AF1086" s="105"/>
      <c r="AG1086" s="105"/>
      <c r="AH1086" s="105"/>
      <c r="AI1086" s="105"/>
      <c r="AJ1086" s="105"/>
      <c r="AK1086" s="105"/>
      <c r="AL1086" s="105"/>
      <c r="AM1086" s="105"/>
    </row>
    <row r="1087" spans="1:39" ht="15">
      <c r="A1087" s="62" t="s">
        <v>249</v>
      </c>
      <c r="B1087" s="62" t="s">
        <v>294</v>
      </c>
      <c r="C1087" s="63" t="s">
        <v>3612</v>
      </c>
      <c r="D1087" s="64">
        <v>10</v>
      </c>
      <c r="E1087" s="65" t="s">
        <v>136</v>
      </c>
      <c r="F1087" s="66">
        <v>22.67924528301887</v>
      </c>
      <c r="G1087" s="63"/>
      <c r="H1087" s="67"/>
      <c r="I1087" s="68"/>
      <c r="J1087" s="68"/>
      <c r="K1087" s="31" t="s">
        <v>65</v>
      </c>
      <c r="L1087" s="76">
        <v>1087</v>
      </c>
      <c r="M1087" s="76"/>
      <c r="N1087" s="70"/>
      <c r="O1087" s="78" t="s">
        <v>305</v>
      </c>
      <c r="P1087" s="78" t="s">
        <v>434</v>
      </c>
      <c r="Q1087" s="78" t="s">
        <v>875</v>
      </c>
      <c r="R1087" s="78" t="s">
        <v>1406</v>
      </c>
      <c r="S1087" s="78"/>
      <c r="T1087" s="78"/>
      <c r="U1087" s="78"/>
      <c r="V1087" s="78"/>
      <c r="W1087" s="81" t="s">
        <v>1674</v>
      </c>
      <c r="X1087" s="81" t="s">
        <v>1674</v>
      </c>
      <c r="Y1087" s="78"/>
      <c r="Z1087" s="78"/>
      <c r="AA1087" s="81" t="s">
        <v>1674</v>
      </c>
      <c r="AB1087" s="79">
        <v>20</v>
      </c>
      <c r="AC1087" s="80" t="str">
        <f>REPLACE(INDEX(GroupVertices[Group],MATCH("~"&amp;Edges[[#This Row],[Vertex 1]],GroupVertices[Vertex],0)),1,1,"")</f>
        <v>2</v>
      </c>
      <c r="AD1087" s="80" t="str">
        <f>REPLACE(INDEX(GroupVertices[Group],MATCH("~"&amp;Edges[[#This Row],[Vertex 2]],GroupVertices[Vertex],0)),1,1,"")</f>
        <v>2</v>
      </c>
      <c r="AE1087" s="105"/>
      <c r="AF1087" s="105"/>
      <c r="AG1087" s="105"/>
      <c r="AH1087" s="105"/>
      <c r="AI1087" s="105"/>
      <c r="AJ1087" s="105"/>
      <c r="AK1087" s="105"/>
      <c r="AL1087" s="105"/>
      <c r="AM1087" s="105"/>
    </row>
    <row r="1088" spans="1:39" ht="15">
      <c r="A1088" s="62" t="s">
        <v>249</v>
      </c>
      <c r="B1088" s="62" t="s">
        <v>294</v>
      </c>
      <c r="C1088" s="63" t="s">
        <v>3612</v>
      </c>
      <c r="D1088" s="64">
        <v>10</v>
      </c>
      <c r="E1088" s="65" t="s">
        <v>136</v>
      </c>
      <c r="F1088" s="66">
        <v>22.67924528301887</v>
      </c>
      <c r="G1088" s="63"/>
      <c r="H1088" s="67"/>
      <c r="I1088" s="68"/>
      <c r="J1088" s="68"/>
      <c r="K1088" s="31" t="s">
        <v>65</v>
      </c>
      <c r="L1088" s="76">
        <v>1088</v>
      </c>
      <c r="M1088" s="76"/>
      <c r="N1088" s="70"/>
      <c r="O1088" s="78" t="s">
        <v>305</v>
      </c>
      <c r="P1088" s="78" t="s">
        <v>522</v>
      </c>
      <c r="Q1088" s="78" t="s">
        <v>1181</v>
      </c>
      <c r="R1088" s="78" t="s">
        <v>1498</v>
      </c>
      <c r="S1088" s="78"/>
      <c r="T1088" s="78"/>
      <c r="U1088" s="78"/>
      <c r="V1088" s="78"/>
      <c r="W1088" s="81" t="s">
        <v>1674</v>
      </c>
      <c r="X1088" s="81" t="s">
        <v>1674</v>
      </c>
      <c r="Y1088" s="78"/>
      <c r="Z1088" s="78"/>
      <c r="AA1088" s="81" t="s">
        <v>1674</v>
      </c>
      <c r="AB1088" s="79">
        <v>20</v>
      </c>
      <c r="AC1088" s="80" t="str">
        <f>REPLACE(INDEX(GroupVertices[Group],MATCH("~"&amp;Edges[[#This Row],[Vertex 1]],GroupVertices[Vertex],0)),1,1,"")</f>
        <v>2</v>
      </c>
      <c r="AD1088" s="80" t="str">
        <f>REPLACE(INDEX(GroupVertices[Group],MATCH("~"&amp;Edges[[#This Row],[Vertex 2]],GroupVertices[Vertex],0)),1,1,"")</f>
        <v>2</v>
      </c>
      <c r="AE1088" s="105"/>
      <c r="AF1088" s="105"/>
      <c r="AG1088" s="105"/>
      <c r="AH1088" s="105"/>
      <c r="AI1088" s="105"/>
      <c r="AJ1088" s="105"/>
      <c r="AK1088" s="105"/>
      <c r="AL1088" s="105"/>
      <c r="AM1088" s="105"/>
    </row>
    <row r="1089" spans="1:39" ht="15">
      <c r="A1089" s="62" t="s">
        <v>249</v>
      </c>
      <c r="B1089" s="62" t="s">
        <v>294</v>
      </c>
      <c r="C1089" s="63" t="s">
        <v>3612</v>
      </c>
      <c r="D1089" s="64">
        <v>10</v>
      </c>
      <c r="E1089" s="65" t="s">
        <v>136</v>
      </c>
      <c r="F1089" s="66">
        <v>22.67924528301887</v>
      </c>
      <c r="G1089" s="63"/>
      <c r="H1089" s="67"/>
      <c r="I1089" s="68"/>
      <c r="J1089" s="68"/>
      <c r="K1089" s="31" t="s">
        <v>65</v>
      </c>
      <c r="L1089" s="76">
        <v>1089</v>
      </c>
      <c r="M1089" s="76"/>
      <c r="N1089" s="70"/>
      <c r="O1089" s="78" t="s">
        <v>305</v>
      </c>
      <c r="P1089" s="78" t="s">
        <v>434</v>
      </c>
      <c r="Q1089" s="78" t="s">
        <v>876</v>
      </c>
      <c r="R1089" s="78" t="s">
        <v>1406</v>
      </c>
      <c r="S1089" s="78"/>
      <c r="T1089" s="78"/>
      <c r="U1089" s="78"/>
      <c r="V1089" s="78"/>
      <c r="W1089" s="81" t="s">
        <v>1674</v>
      </c>
      <c r="X1089" s="81" t="s">
        <v>1674</v>
      </c>
      <c r="Y1089" s="78"/>
      <c r="Z1089" s="78"/>
      <c r="AA1089" s="81" t="s">
        <v>1674</v>
      </c>
      <c r="AB1089" s="79">
        <v>20</v>
      </c>
      <c r="AC1089" s="80" t="str">
        <f>REPLACE(INDEX(GroupVertices[Group],MATCH("~"&amp;Edges[[#This Row],[Vertex 1]],GroupVertices[Vertex],0)),1,1,"")</f>
        <v>2</v>
      </c>
      <c r="AD1089" s="80" t="str">
        <f>REPLACE(INDEX(GroupVertices[Group],MATCH("~"&amp;Edges[[#This Row],[Vertex 2]],GroupVertices[Vertex],0)),1,1,"")</f>
        <v>2</v>
      </c>
      <c r="AE1089" s="105"/>
      <c r="AF1089" s="105"/>
      <c r="AG1089" s="105"/>
      <c r="AH1089" s="105"/>
      <c r="AI1089" s="105"/>
      <c r="AJ1089" s="105"/>
      <c r="AK1089" s="105"/>
      <c r="AL1089" s="105"/>
      <c r="AM1089" s="105"/>
    </row>
    <row r="1090" spans="1:39" ht="15">
      <c r="A1090" s="62" t="s">
        <v>251</v>
      </c>
      <c r="B1090" s="62" t="s">
        <v>294</v>
      </c>
      <c r="C1090" s="63" t="s">
        <v>3598</v>
      </c>
      <c r="D1090" s="64">
        <v>5</v>
      </c>
      <c r="E1090" s="65" t="s">
        <v>132</v>
      </c>
      <c r="F1090" s="66">
        <v>32</v>
      </c>
      <c r="G1090" s="63"/>
      <c r="H1090" s="67"/>
      <c r="I1090" s="68"/>
      <c r="J1090" s="68"/>
      <c r="K1090" s="31" t="s">
        <v>65</v>
      </c>
      <c r="L1090" s="76">
        <v>1090</v>
      </c>
      <c r="M1090" s="76"/>
      <c r="N1090" s="70"/>
      <c r="O1090" s="78" t="s">
        <v>305</v>
      </c>
      <c r="P1090" s="78" t="s">
        <v>350</v>
      </c>
      <c r="Q1090" s="78" t="s">
        <v>712</v>
      </c>
      <c r="R1090" s="78" t="s">
        <v>1296</v>
      </c>
      <c r="S1090" s="78"/>
      <c r="T1090" s="78"/>
      <c r="U1090" s="78"/>
      <c r="V1090" s="78"/>
      <c r="W1090" s="81" t="s">
        <v>1674</v>
      </c>
      <c r="X1090" s="81" t="s">
        <v>1674</v>
      </c>
      <c r="Y1090" s="78"/>
      <c r="Z1090" s="78"/>
      <c r="AA1090" s="81" t="s">
        <v>1674</v>
      </c>
      <c r="AB1090" s="79">
        <v>1</v>
      </c>
      <c r="AC1090" s="80" t="str">
        <f>REPLACE(INDEX(GroupVertices[Group],MATCH("~"&amp;Edges[[#This Row],[Vertex 1]],GroupVertices[Vertex],0)),1,1,"")</f>
        <v>3</v>
      </c>
      <c r="AD1090" s="80" t="str">
        <f>REPLACE(INDEX(GroupVertices[Group],MATCH("~"&amp;Edges[[#This Row],[Vertex 2]],GroupVertices[Vertex],0)),1,1,"")</f>
        <v>2</v>
      </c>
      <c r="AE1090" s="105"/>
      <c r="AF1090" s="105"/>
      <c r="AG1090" s="105"/>
      <c r="AH1090" s="105"/>
      <c r="AI1090" s="105"/>
      <c r="AJ1090" s="105"/>
      <c r="AK1090" s="105"/>
      <c r="AL1090" s="105"/>
      <c r="AM1090" s="105"/>
    </row>
    <row r="1091" spans="1:39" ht="15">
      <c r="A1091" s="62" t="s">
        <v>245</v>
      </c>
      <c r="B1091" s="62" t="s">
        <v>294</v>
      </c>
      <c r="C1091" s="63" t="s">
        <v>3598</v>
      </c>
      <c r="D1091" s="64">
        <v>5</v>
      </c>
      <c r="E1091" s="65" t="s">
        <v>132</v>
      </c>
      <c r="F1091" s="66">
        <v>32</v>
      </c>
      <c r="G1091" s="63"/>
      <c r="H1091" s="67"/>
      <c r="I1091" s="68"/>
      <c r="J1091" s="68"/>
      <c r="K1091" s="31" t="s">
        <v>65</v>
      </c>
      <c r="L1091" s="76">
        <v>1091</v>
      </c>
      <c r="M1091" s="76"/>
      <c r="N1091" s="70"/>
      <c r="O1091" s="78" t="s">
        <v>305</v>
      </c>
      <c r="P1091" s="78" t="s">
        <v>535</v>
      </c>
      <c r="Q1091" s="78" t="s">
        <v>1054</v>
      </c>
      <c r="R1091" s="78" t="s">
        <v>1517</v>
      </c>
      <c r="S1091" s="78"/>
      <c r="T1091" s="78"/>
      <c r="U1091" s="78"/>
      <c r="V1091" s="78"/>
      <c r="W1091" s="81" t="s">
        <v>1674</v>
      </c>
      <c r="X1091" s="81" t="s">
        <v>1674</v>
      </c>
      <c r="Y1091" s="78"/>
      <c r="Z1091" s="78"/>
      <c r="AA1091" s="81" t="s">
        <v>1674</v>
      </c>
      <c r="AB1091" s="79">
        <v>1</v>
      </c>
      <c r="AC1091" s="80" t="str">
        <f>REPLACE(INDEX(GroupVertices[Group],MATCH("~"&amp;Edges[[#This Row],[Vertex 1]],GroupVertices[Vertex],0)),1,1,"")</f>
        <v>1</v>
      </c>
      <c r="AD1091" s="80" t="str">
        <f>REPLACE(INDEX(GroupVertices[Group],MATCH("~"&amp;Edges[[#This Row],[Vertex 2]],GroupVertices[Vertex],0)),1,1,"")</f>
        <v>2</v>
      </c>
      <c r="AE1091" s="105"/>
      <c r="AF1091" s="105"/>
      <c r="AG1091" s="105"/>
      <c r="AH1091" s="105"/>
      <c r="AI1091" s="105"/>
      <c r="AJ1091" s="105"/>
      <c r="AK1091" s="105"/>
      <c r="AL1091" s="105"/>
      <c r="AM1091" s="105"/>
    </row>
    <row r="1092" spans="1:39" ht="15">
      <c r="A1092" s="62" t="s">
        <v>246</v>
      </c>
      <c r="B1092" s="62" t="s">
        <v>294</v>
      </c>
      <c r="C1092" s="63" t="s">
        <v>3598</v>
      </c>
      <c r="D1092" s="64">
        <v>5</v>
      </c>
      <c r="E1092" s="65" t="s">
        <v>132</v>
      </c>
      <c r="F1092" s="66">
        <v>32</v>
      </c>
      <c r="G1092" s="63"/>
      <c r="H1092" s="67"/>
      <c r="I1092" s="68"/>
      <c r="J1092" s="68"/>
      <c r="K1092" s="31" t="s">
        <v>65</v>
      </c>
      <c r="L1092" s="76">
        <v>1092</v>
      </c>
      <c r="M1092" s="76"/>
      <c r="N1092" s="70"/>
      <c r="O1092" s="78" t="s">
        <v>305</v>
      </c>
      <c r="P1092" s="78" t="s">
        <v>608</v>
      </c>
      <c r="Q1092" s="78" t="s">
        <v>1182</v>
      </c>
      <c r="R1092" s="78" t="s">
        <v>1602</v>
      </c>
      <c r="S1092" s="78"/>
      <c r="T1092" s="78"/>
      <c r="U1092" s="78"/>
      <c r="V1092" s="78"/>
      <c r="W1092" s="81" t="s">
        <v>1674</v>
      </c>
      <c r="X1092" s="81" t="s">
        <v>1674</v>
      </c>
      <c r="Y1092" s="78"/>
      <c r="Z1092" s="78"/>
      <c r="AA1092" s="81" t="s">
        <v>1674</v>
      </c>
      <c r="AB1092" s="79">
        <v>1</v>
      </c>
      <c r="AC1092" s="80" t="str">
        <f>REPLACE(INDEX(GroupVertices[Group],MATCH("~"&amp;Edges[[#This Row],[Vertex 1]],GroupVertices[Vertex],0)),1,1,"")</f>
        <v>3</v>
      </c>
      <c r="AD1092" s="80" t="str">
        <f>REPLACE(INDEX(GroupVertices[Group],MATCH("~"&amp;Edges[[#This Row],[Vertex 2]],GroupVertices[Vertex],0)),1,1,"")</f>
        <v>2</v>
      </c>
      <c r="AE1092" s="105"/>
      <c r="AF1092" s="105"/>
      <c r="AG1092" s="105"/>
      <c r="AH1092" s="105"/>
      <c r="AI1092" s="105"/>
      <c r="AJ1092" s="105"/>
      <c r="AK1092" s="105"/>
      <c r="AL1092" s="105"/>
      <c r="AM1092" s="105"/>
    </row>
    <row r="1093" spans="1:39" ht="15">
      <c r="A1093" s="62" t="s">
        <v>247</v>
      </c>
      <c r="B1093" s="62" t="s">
        <v>294</v>
      </c>
      <c r="C1093" s="63" t="s">
        <v>3598</v>
      </c>
      <c r="D1093" s="64">
        <v>5</v>
      </c>
      <c r="E1093" s="65" t="s">
        <v>132</v>
      </c>
      <c r="F1093" s="66">
        <v>32</v>
      </c>
      <c r="G1093" s="63"/>
      <c r="H1093" s="67"/>
      <c r="I1093" s="68"/>
      <c r="J1093" s="68"/>
      <c r="K1093" s="31" t="s">
        <v>65</v>
      </c>
      <c r="L1093" s="76">
        <v>1093</v>
      </c>
      <c r="M1093" s="76"/>
      <c r="N1093" s="70"/>
      <c r="O1093" s="78" t="s">
        <v>305</v>
      </c>
      <c r="P1093" s="78" t="s">
        <v>609</v>
      </c>
      <c r="Q1093" s="78" t="s">
        <v>1183</v>
      </c>
      <c r="R1093" s="78" t="s">
        <v>1603</v>
      </c>
      <c r="S1093" s="78"/>
      <c r="T1093" s="78"/>
      <c r="U1093" s="78"/>
      <c r="V1093" s="78"/>
      <c r="W1093" s="81" t="s">
        <v>1674</v>
      </c>
      <c r="X1093" s="81" t="s">
        <v>1674</v>
      </c>
      <c r="Y1093" s="78"/>
      <c r="Z1093" s="78"/>
      <c r="AA1093" s="81" t="s">
        <v>1674</v>
      </c>
      <c r="AB1093" s="79">
        <v>1</v>
      </c>
      <c r="AC1093" s="80" t="str">
        <f>REPLACE(INDEX(GroupVertices[Group],MATCH("~"&amp;Edges[[#This Row],[Vertex 1]],GroupVertices[Vertex],0)),1,1,"")</f>
        <v>2</v>
      </c>
      <c r="AD1093" s="80" t="str">
        <f>REPLACE(INDEX(GroupVertices[Group],MATCH("~"&amp;Edges[[#This Row],[Vertex 2]],GroupVertices[Vertex],0)),1,1,"")</f>
        <v>2</v>
      </c>
      <c r="AE1093" s="105"/>
      <c r="AF1093" s="105"/>
      <c r="AG1093" s="105"/>
      <c r="AH1093" s="105"/>
      <c r="AI1093" s="105"/>
      <c r="AJ1093" s="105"/>
      <c r="AK1093" s="105"/>
      <c r="AL1093" s="105"/>
      <c r="AM1093" s="105"/>
    </row>
    <row r="1094" spans="1:39" ht="15">
      <c r="A1094" s="62" t="s">
        <v>260</v>
      </c>
      <c r="B1094" s="62" t="s">
        <v>294</v>
      </c>
      <c r="C1094" s="63" t="s">
        <v>3598</v>
      </c>
      <c r="D1094" s="64">
        <v>5.2631578947368425</v>
      </c>
      <c r="E1094" s="65" t="s">
        <v>136</v>
      </c>
      <c r="F1094" s="66">
        <v>31.50943396226415</v>
      </c>
      <c r="G1094" s="63"/>
      <c r="H1094" s="67"/>
      <c r="I1094" s="68"/>
      <c r="J1094" s="68"/>
      <c r="K1094" s="31" t="s">
        <v>65</v>
      </c>
      <c r="L1094" s="76">
        <v>1094</v>
      </c>
      <c r="M1094" s="76"/>
      <c r="N1094" s="70"/>
      <c r="O1094" s="78" t="s">
        <v>305</v>
      </c>
      <c r="P1094" s="78" t="s">
        <v>610</v>
      </c>
      <c r="Q1094" s="78" t="s">
        <v>1184</v>
      </c>
      <c r="R1094" s="78" t="s">
        <v>1604</v>
      </c>
      <c r="S1094" s="78"/>
      <c r="T1094" s="78"/>
      <c r="U1094" s="78"/>
      <c r="V1094" s="78"/>
      <c r="W1094" s="81" t="s">
        <v>1674</v>
      </c>
      <c r="X1094" s="81" t="s">
        <v>1674</v>
      </c>
      <c r="Y1094" s="78"/>
      <c r="Z1094" s="78"/>
      <c r="AA1094" s="81" t="s">
        <v>1674</v>
      </c>
      <c r="AB1094" s="79">
        <v>2</v>
      </c>
      <c r="AC1094" s="80" t="str">
        <f>REPLACE(INDEX(GroupVertices[Group],MATCH("~"&amp;Edges[[#This Row],[Vertex 1]],GroupVertices[Vertex],0)),1,1,"")</f>
        <v>1</v>
      </c>
      <c r="AD1094" s="80" t="str">
        <f>REPLACE(INDEX(GroupVertices[Group],MATCH("~"&amp;Edges[[#This Row],[Vertex 2]],GroupVertices[Vertex],0)),1,1,"")</f>
        <v>2</v>
      </c>
      <c r="AE1094" s="105"/>
      <c r="AF1094" s="105"/>
      <c r="AG1094" s="105"/>
      <c r="AH1094" s="105"/>
      <c r="AI1094" s="105"/>
      <c r="AJ1094" s="105"/>
      <c r="AK1094" s="105"/>
      <c r="AL1094" s="105"/>
      <c r="AM1094" s="105"/>
    </row>
    <row r="1095" spans="1:39" ht="15">
      <c r="A1095" s="62" t="s">
        <v>260</v>
      </c>
      <c r="B1095" s="62" t="s">
        <v>294</v>
      </c>
      <c r="C1095" s="63" t="s">
        <v>3598</v>
      </c>
      <c r="D1095" s="64">
        <v>5.2631578947368425</v>
      </c>
      <c r="E1095" s="65" t="s">
        <v>136</v>
      </c>
      <c r="F1095" s="66">
        <v>31.50943396226415</v>
      </c>
      <c r="G1095" s="63"/>
      <c r="H1095" s="67"/>
      <c r="I1095" s="68"/>
      <c r="J1095" s="68"/>
      <c r="K1095" s="31" t="s">
        <v>65</v>
      </c>
      <c r="L1095" s="76">
        <v>1095</v>
      </c>
      <c r="M1095" s="76"/>
      <c r="N1095" s="70"/>
      <c r="O1095" s="78" t="s">
        <v>305</v>
      </c>
      <c r="P1095" s="78" t="s">
        <v>611</v>
      </c>
      <c r="Q1095" s="78" t="s">
        <v>1185</v>
      </c>
      <c r="R1095" s="78" t="s">
        <v>1605</v>
      </c>
      <c r="S1095" s="78"/>
      <c r="T1095" s="78"/>
      <c r="U1095" s="78"/>
      <c r="V1095" s="78"/>
      <c r="W1095" s="81" t="s">
        <v>1674</v>
      </c>
      <c r="X1095" s="81" t="s">
        <v>1674</v>
      </c>
      <c r="Y1095" s="78"/>
      <c r="Z1095" s="78"/>
      <c r="AA1095" s="81" t="s">
        <v>1674</v>
      </c>
      <c r="AB1095" s="79">
        <v>2</v>
      </c>
      <c r="AC1095" s="80" t="str">
        <f>REPLACE(INDEX(GroupVertices[Group],MATCH("~"&amp;Edges[[#This Row],[Vertex 1]],GroupVertices[Vertex],0)),1,1,"")</f>
        <v>1</v>
      </c>
      <c r="AD1095" s="80" t="str">
        <f>REPLACE(INDEX(GroupVertices[Group],MATCH("~"&amp;Edges[[#This Row],[Vertex 2]],GroupVertices[Vertex],0)),1,1,"")</f>
        <v>2</v>
      </c>
      <c r="AE1095" s="105"/>
      <c r="AF1095" s="105"/>
      <c r="AG1095" s="105"/>
      <c r="AH1095" s="105"/>
      <c r="AI1095" s="105"/>
      <c r="AJ1095" s="105"/>
      <c r="AK1095" s="105"/>
      <c r="AL1095" s="105"/>
      <c r="AM1095" s="105"/>
    </row>
    <row r="1096" spans="1:39" ht="15">
      <c r="A1096" s="62" t="s">
        <v>280</v>
      </c>
      <c r="B1096" s="62" t="s">
        <v>294</v>
      </c>
      <c r="C1096" s="63" t="s">
        <v>3598</v>
      </c>
      <c r="D1096" s="64">
        <v>5</v>
      </c>
      <c r="E1096" s="65" t="s">
        <v>132</v>
      </c>
      <c r="F1096" s="66">
        <v>32</v>
      </c>
      <c r="G1096" s="63"/>
      <c r="H1096" s="67"/>
      <c r="I1096" s="68"/>
      <c r="J1096" s="68"/>
      <c r="K1096" s="31" t="s">
        <v>65</v>
      </c>
      <c r="L1096" s="76">
        <v>1096</v>
      </c>
      <c r="M1096" s="76"/>
      <c r="N1096" s="70"/>
      <c r="O1096" s="78" t="s">
        <v>305</v>
      </c>
      <c r="P1096" s="78" t="s">
        <v>533</v>
      </c>
      <c r="Q1096" s="78" t="s">
        <v>1068</v>
      </c>
      <c r="R1096" s="78" t="s">
        <v>1515</v>
      </c>
      <c r="S1096" s="78"/>
      <c r="T1096" s="78"/>
      <c r="U1096" s="78"/>
      <c r="V1096" s="78"/>
      <c r="W1096" s="81" t="s">
        <v>1674</v>
      </c>
      <c r="X1096" s="81" t="s">
        <v>1674</v>
      </c>
      <c r="Y1096" s="78"/>
      <c r="Z1096" s="78"/>
      <c r="AA1096" s="81" t="s">
        <v>1674</v>
      </c>
      <c r="AB1096" s="79">
        <v>1</v>
      </c>
      <c r="AC1096" s="80" t="str">
        <f>REPLACE(INDEX(GroupVertices[Group],MATCH("~"&amp;Edges[[#This Row],[Vertex 1]],GroupVertices[Vertex],0)),1,1,"")</f>
        <v>3</v>
      </c>
      <c r="AD1096" s="80" t="str">
        <f>REPLACE(INDEX(GroupVertices[Group],MATCH("~"&amp;Edges[[#This Row],[Vertex 2]],GroupVertices[Vertex],0)),1,1,"")</f>
        <v>2</v>
      </c>
      <c r="AE1096" s="105"/>
      <c r="AF1096" s="105"/>
      <c r="AG1096" s="105"/>
      <c r="AH1096" s="105"/>
      <c r="AI1096" s="105"/>
      <c r="AJ1096" s="105"/>
      <c r="AK1096" s="105"/>
      <c r="AL1096" s="105"/>
      <c r="AM1096" s="105"/>
    </row>
    <row r="1097" spans="1:39" ht="15">
      <c r="A1097" s="62" t="s">
        <v>288</v>
      </c>
      <c r="B1097" s="62" t="s">
        <v>294</v>
      </c>
      <c r="C1097" s="63" t="s">
        <v>3598</v>
      </c>
      <c r="D1097" s="64">
        <v>5</v>
      </c>
      <c r="E1097" s="65" t="s">
        <v>132</v>
      </c>
      <c r="F1097" s="66">
        <v>32</v>
      </c>
      <c r="G1097" s="63"/>
      <c r="H1097" s="67"/>
      <c r="I1097" s="68"/>
      <c r="J1097" s="68"/>
      <c r="K1097" s="31" t="s">
        <v>65</v>
      </c>
      <c r="L1097" s="76">
        <v>1097</v>
      </c>
      <c r="M1097" s="76"/>
      <c r="N1097" s="70"/>
      <c r="O1097" s="78" t="s">
        <v>305</v>
      </c>
      <c r="P1097" s="78" t="s">
        <v>607</v>
      </c>
      <c r="Q1097" s="78" t="s">
        <v>1186</v>
      </c>
      <c r="R1097" s="78" t="s">
        <v>1601</v>
      </c>
      <c r="S1097" s="78"/>
      <c r="T1097" s="78"/>
      <c r="U1097" s="78"/>
      <c r="V1097" s="78"/>
      <c r="W1097" s="81" t="s">
        <v>1674</v>
      </c>
      <c r="X1097" s="81" t="s">
        <v>1674</v>
      </c>
      <c r="Y1097" s="78"/>
      <c r="Z1097" s="78"/>
      <c r="AA1097" s="81" t="s">
        <v>1674</v>
      </c>
      <c r="AB1097" s="79">
        <v>1</v>
      </c>
      <c r="AC1097" s="80" t="str">
        <f>REPLACE(INDEX(GroupVertices[Group],MATCH("~"&amp;Edges[[#This Row],[Vertex 1]],GroupVertices[Vertex],0)),1,1,"")</f>
        <v>3</v>
      </c>
      <c r="AD1097" s="80" t="str">
        <f>REPLACE(INDEX(GroupVertices[Group],MATCH("~"&amp;Edges[[#This Row],[Vertex 2]],GroupVertices[Vertex],0)),1,1,"")</f>
        <v>2</v>
      </c>
      <c r="AE1097" s="105"/>
      <c r="AF1097" s="105"/>
      <c r="AG1097" s="105"/>
      <c r="AH1097" s="105"/>
      <c r="AI1097" s="105"/>
      <c r="AJ1097" s="105"/>
      <c r="AK1097" s="105"/>
      <c r="AL1097" s="105"/>
      <c r="AM1097" s="105"/>
    </row>
    <row r="1098" spans="1:39" ht="15">
      <c r="A1098" s="62" t="s">
        <v>245</v>
      </c>
      <c r="B1098" s="62" t="s">
        <v>249</v>
      </c>
      <c r="C1098" s="63" t="s">
        <v>3598</v>
      </c>
      <c r="D1098" s="64">
        <v>5</v>
      </c>
      <c r="E1098" s="65" t="s">
        <v>132</v>
      </c>
      <c r="F1098" s="66">
        <v>32</v>
      </c>
      <c r="G1098" s="63"/>
      <c r="H1098" s="67"/>
      <c r="I1098" s="68"/>
      <c r="J1098" s="68"/>
      <c r="K1098" s="31" t="s">
        <v>65</v>
      </c>
      <c r="L1098" s="76">
        <v>1098</v>
      </c>
      <c r="M1098" s="76"/>
      <c r="N1098" s="70"/>
      <c r="O1098" s="78" t="s">
        <v>305</v>
      </c>
      <c r="P1098" s="78" t="s">
        <v>352</v>
      </c>
      <c r="Q1098" s="78" t="s">
        <v>724</v>
      </c>
      <c r="R1098" s="78" t="s">
        <v>707</v>
      </c>
      <c r="S1098" s="78"/>
      <c r="T1098" s="78"/>
      <c r="U1098" s="78"/>
      <c r="V1098" s="78"/>
      <c r="W1098" s="81" t="s">
        <v>1674</v>
      </c>
      <c r="X1098" s="81" t="s">
        <v>1674</v>
      </c>
      <c r="Y1098" s="78"/>
      <c r="Z1098" s="78"/>
      <c r="AA1098" s="81" t="s">
        <v>1674</v>
      </c>
      <c r="AB1098" s="79">
        <v>1</v>
      </c>
      <c r="AC1098" s="80" t="str">
        <f>REPLACE(INDEX(GroupVertices[Group],MATCH("~"&amp;Edges[[#This Row],[Vertex 1]],GroupVertices[Vertex],0)),1,1,"")</f>
        <v>1</v>
      </c>
      <c r="AD1098" s="80" t="str">
        <f>REPLACE(INDEX(GroupVertices[Group],MATCH("~"&amp;Edges[[#This Row],[Vertex 2]],GroupVertices[Vertex],0)),1,1,"")</f>
        <v>2</v>
      </c>
      <c r="AE1098" s="105"/>
      <c r="AF1098" s="105"/>
      <c r="AG1098" s="105"/>
      <c r="AH1098" s="105"/>
      <c r="AI1098" s="105"/>
      <c r="AJ1098" s="105"/>
      <c r="AK1098" s="105"/>
      <c r="AL1098" s="105"/>
      <c r="AM1098" s="105"/>
    </row>
    <row r="1099" spans="1:39" ht="15">
      <c r="A1099" s="62" t="s">
        <v>247</v>
      </c>
      <c r="B1099" s="62" t="s">
        <v>249</v>
      </c>
      <c r="C1099" s="63" t="s">
        <v>3598</v>
      </c>
      <c r="D1099" s="64">
        <v>5</v>
      </c>
      <c r="E1099" s="65" t="s">
        <v>132</v>
      </c>
      <c r="F1099" s="66">
        <v>32</v>
      </c>
      <c r="G1099" s="63"/>
      <c r="H1099" s="67"/>
      <c r="I1099" s="68"/>
      <c r="J1099" s="68"/>
      <c r="K1099" s="31" t="s">
        <v>65</v>
      </c>
      <c r="L1099" s="76">
        <v>1099</v>
      </c>
      <c r="M1099" s="76"/>
      <c r="N1099" s="70"/>
      <c r="O1099" s="78" t="s">
        <v>305</v>
      </c>
      <c r="P1099" s="78" t="s">
        <v>372</v>
      </c>
      <c r="Q1099" s="78" t="s">
        <v>788</v>
      </c>
      <c r="R1099" s="78" t="s">
        <v>1323</v>
      </c>
      <c r="S1099" s="78"/>
      <c r="T1099" s="78"/>
      <c r="U1099" s="78"/>
      <c r="V1099" s="78"/>
      <c r="W1099" s="81" t="s">
        <v>1674</v>
      </c>
      <c r="X1099" s="81" t="s">
        <v>1674</v>
      </c>
      <c r="Y1099" s="78"/>
      <c r="Z1099" s="78"/>
      <c r="AA1099" s="81" t="s">
        <v>1674</v>
      </c>
      <c r="AB1099" s="79">
        <v>1</v>
      </c>
      <c r="AC1099" s="80" t="str">
        <f>REPLACE(INDEX(GroupVertices[Group],MATCH("~"&amp;Edges[[#This Row],[Vertex 1]],GroupVertices[Vertex],0)),1,1,"")</f>
        <v>2</v>
      </c>
      <c r="AD1099" s="80" t="str">
        <f>REPLACE(INDEX(GroupVertices[Group],MATCH("~"&amp;Edges[[#This Row],[Vertex 2]],GroupVertices[Vertex],0)),1,1,"")</f>
        <v>2</v>
      </c>
      <c r="AE1099" s="105"/>
      <c r="AF1099" s="105"/>
      <c r="AG1099" s="105"/>
      <c r="AH1099" s="105"/>
      <c r="AI1099" s="105"/>
      <c r="AJ1099" s="105"/>
      <c r="AK1099" s="105"/>
      <c r="AL1099" s="105"/>
      <c r="AM1099" s="105"/>
    </row>
    <row r="1100" spans="1:39" ht="15">
      <c r="A1100" s="62" t="s">
        <v>288</v>
      </c>
      <c r="B1100" s="62" t="s">
        <v>249</v>
      </c>
      <c r="C1100" s="63" t="s">
        <v>3598</v>
      </c>
      <c r="D1100" s="64">
        <v>5</v>
      </c>
      <c r="E1100" s="65" t="s">
        <v>132</v>
      </c>
      <c r="F1100" s="66">
        <v>32</v>
      </c>
      <c r="G1100" s="63"/>
      <c r="H1100" s="67"/>
      <c r="I1100" s="68"/>
      <c r="J1100" s="68"/>
      <c r="K1100" s="31" t="s">
        <v>65</v>
      </c>
      <c r="L1100" s="76">
        <v>1100</v>
      </c>
      <c r="M1100" s="76"/>
      <c r="N1100" s="70"/>
      <c r="O1100" s="78" t="s">
        <v>305</v>
      </c>
      <c r="P1100" s="78" t="s">
        <v>607</v>
      </c>
      <c r="Q1100" s="78" t="s">
        <v>1186</v>
      </c>
      <c r="R1100" s="78" t="s">
        <v>1180</v>
      </c>
      <c r="S1100" s="78"/>
      <c r="T1100" s="78"/>
      <c r="U1100" s="78"/>
      <c r="V1100" s="78"/>
      <c r="W1100" s="81" t="s">
        <v>1674</v>
      </c>
      <c r="X1100" s="81" t="s">
        <v>1674</v>
      </c>
      <c r="Y1100" s="78"/>
      <c r="Z1100" s="78"/>
      <c r="AA1100" s="81" t="s">
        <v>1674</v>
      </c>
      <c r="AB1100" s="79">
        <v>1</v>
      </c>
      <c r="AC1100" s="80" t="str">
        <f>REPLACE(INDEX(GroupVertices[Group],MATCH("~"&amp;Edges[[#This Row],[Vertex 1]],GroupVertices[Vertex],0)),1,1,"")</f>
        <v>3</v>
      </c>
      <c r="AD1100" s="80" t="str">
        <f>REPLACE(INDEX(GroupVertices[Group],MATCH("~"&amp;Edges[[#This Row],[Vertex 2]],GroupVertices[Vertex],0)),1,1,"")</f>
        <v>2</v>
      </c>
      <c r="AE1100" s="105"/>
      <c r="AF1100" s="105"/>
      <c r="AG1100" s="105"/>
      <c r="AH1100" s="105"/>
      <c r="AI1100" s="105"/>
      <c r="AJ1100" s="105"/>
      <c r="AK1100" s="105"/>
      <c r="AL1100" s="105"/>
      <c r="AM1100" s="105"/>
    </row>
    <row r="1101" spans="1:39" ht="15">
      <c r="A1101" s="62" t="s">
        <v>288</v>
      </c>
      <c r="B1101" s="62" t="s">
        <v>304</v>
      </c>
      <c r="C1101" s="63" t="s">
        <v>3598</v>
      </c>
      <c r="D1101" s="64">
        <v>5</v>
      </c>
      <c r="E1101" s="65" t="s">
        <v>132</v>
      </c>
      <c r="F1101" s="66">
        <v>32</v>
      </c>
      <c r="G1101" s="63"/>
      <c r="H1101" s="67"/>
      <c r="I1101" s="68"/>
      <c r="J1101" s="68"/>
      <c r="K1101" s="31" t="s">
        <v>65</v>
      </c>
      <c r="L1101" s="76">
        <v>1101</v>
      </c>
      <c r="M1101" s="76"/>
      <c r="N1101" s="70"/>
      <c r="O1101" s="78" t="s">
        <v>305</v>
      </c>
      <c r="P1101" s="78" t="s">
        <v>612</v>
      </c>
      <c r="Q1101" s="78" t="s">
        <v>1187</v>
      </c>
      <c r="R1101" s="78" t="s">
        <v>1606</v>
      </c>
      <c r="S1101" s="78" t="s">
        <v>1656</v>
      </c>
      <c r="T1101" s="78"/>
      <c r="U1101" s="78" t="s">
        <v>1670</v>
      </c>
      <c r="V1101" s="78"/>
      <c r="W1101" s="81" t="s">
        <v>1674</v>
      </c>
      <c r="X1101" s="81" t="s">
        <v>1674</v>
      </c>
      <c r="Y1101" s="78" t="s">
        <v>1700</v>
      </c>
      <c r="Z1101" s="78" t="s">
        <v>1709</v>
      </c>
      <c r="AA1101" s="81" t="s">
        <v>1674</v>
      </c>
      <c r="AB1101" s="79">
        <v>1</v>
      </c>
      <c r="AC1101" s="80" t="str">
        <f>REPLACE(INDEX(GroupVertices[Group],MATCH("~"&amp;Edges[[#This Row],[Vertex 1]],GroupVertices[Vertex],0)),1,1,"")</f>
        <v>3</v>
      </c>
      <c r="AD1101" s="80" t="str">
        <f>REPLACE(INDEX(GroupVertices[Group],MATCH("~"&amp;Edges[[#This Row],[Vertex 2]],GroupVertices[Vertex],0)),1,1,"")</f>
        <v>3</v>
      </c>
      <c r="AE1101" s="105"/>
      <c r="AF1101" s="105"/>
      <c r="AG1101" s="105"/>
      <c r="AH1101" s="105"/>
      <c r="AI1101" s="105"/>
      <c r="AJ1101" s="105"/>
      <c r="AK1101" s="105"/>
      <c r="AL1101" s="105"/>
      <c r="AM1101" s="105"/>
    </row>
    <row r="1102" spans="1:39" ht="15">
      <c r="A1102" s="62" t="s">
        <v>258</v>
      </c>
      <c r="B1102" s="62" t="s">
        <v>245</v>
      </c>
      <c r="C1102" s="63" t="s">
        <v>3598</v>
      </c>
      <c r="D1102" s="64">
        <v>5</v>
      </c>
      <c r="E1102" s="65" t="s">
        <v>132</v>
      </c>
      <c r="F1102" s="66">
        <v>32</v>
      </c>
      <c r="G1102" s="63"/>
      <c r="H1102" s="67"/>
      <c r="I1102" s="68"/>
      <c r="J1102" s="68"/>
      <c r="K1102" s="31" t="s">
        <v>65</v>
      </c>
      <c r="L1102" s="76">
        <v>1102</v>
      </c>
      <c r="M1102" s="76"/>
      <c r="N1102" s="70"/>
      <c r="O1102" s="78" t="s">
        <v>305</v>
      </c>
      <c r="P1102" s="78" t="s">
        <v>582</v>
      </c>
      <c r="Q1102" s="78" t="s">
        <v>1140</v>
      </c>
      <c r="R1102" s="78" t="s">
        <v>1137</v>
      </c>
      <c r="S1102" s="78"/>
      <c r="T1102" s="78"/>
      <c r="U1102" s="78"/>
      <c r="V1102" s="78"/>
      <c r="W1102" s="81" t="s">
        <v>1674</v>
      </c>
      <c r="X1102" s="81" t="s">
        <v>1674</v>
      </c>
      <c r="Y1102" s="78"/>
      <c r="Z1102" s="78"/>
      <c r="AA1102" s="81" t="s">
        <v>1674</v>
      </c>
      <c r="AB1102" s="79">
        <v>1</v>
      </c>
      <c r="AC1102" s="80" t="str">
        <f>REPLACE(INDEX(GroupVertices[Group],MATCH("~"&amp;Edges[[#This Row],[Vertex 1]],GroupVertices[Vertex],0)),1,1,"")</f>
        <v>1</v>
      </c>
      <c r="AD1102" s="80" t="str">
        <f>REPLACE(INDEX(GroupVertices[Group],MATCH("~"&amp;Edges[[#This Row],[Vertex 2]],GroupVertices[Vertex],0)),1,1,"")</f>
        <v>1</v>
      </c>
      <c r="AE1102" s="105"/>
      <c r="AF1102" s="105"/>
      <c r="AG1102" s="105"/>
      <c r="AH1102" s="105"/>
      <c r="AI1102" s="105"/>
      <c r="AJ1102" s="105"/>
      <c r="AK1102" s="105"/>
      <c r="AL1102" s="105"/>
      <c r="AM1102" s="105"/>
    </row>
    <row r="1103" spans="1:39" ht="15">
      <c r="A1103" s="62" t="s">
        <v>264</v>
      </c>
      <c r="B1103" s="62" t="s">
        <v>258</v>
      </c>
      <c r="C1103" s="63" t="s">
        <v>3598</v>
      </c>
      <c r="D1103" s="64">
        <v>5</v>
      </c>
      <c r="E1103" s="65" t="s">
        <v>132</v>
      </c>
      <c r="F1103" s="66">
        <v>32</v>
      </c>
      <c r="G1103" s="63"/>
      <c r="H1103" s="67"/>
      <c r="I1103" s="68"/>
      <c r="J1103" s="68"/>
      <c r="K1103" s="31" t="s">
        <v>65</v>
      </c>
      <c r="L1103" s="76">
        <v>1103</v>
      </c>
      <c r="M1103" s="76"/>
      <c r="N1103" s="70"/>
      <c r="O1103" s="78" t="s">
        <v>305</v>
      </c>
      <c r="P1103" s="78" t="s">
        <v>613</v>
      </c>
      <c r="Q1103" s="78" t="s">
        <v>1188</v>
      </c>
      <c r="R1103" s="78" t="s">
        <v>1607</v>
      </c>
      <c r="S1103" s="78"/>
      <c r="T1103" s="78"/>
      <c r="U1103" s="78"/>
      <c r="V1103" s="78"/>
      <c r="W1103" s="81" t="s">
        <v>1674</v>
      </c>
      <c r="X1103" s="81" t="s">
        <v>1674</v>
      </c>
      <c r="Y1103" s="78"/>
      <c r="Z1103" s="78"/>
      <c r="AA1103" s="81" t="s">
        <v>1674</v>
      </c>
      <c r="AB1103" s="79">
        <v>1</v>
      </c>
      <c r="AC1103" s="80" t="str">
        <f>REPLACE(INDEX(GroupVertices[Group],MATCH("~"&amp;Edges[[#This Row],[Vertex 1]],GroupVertices[Vertex],0)),1,1,"")</f>
        <v>3</v>
      </c>
      <c r="AD1103" s="80" t="str">
        <f>REPLACE(INDEX(GroupVertices[Group],MATCH("~"&amp;Edges[[#This Row],[Vertex 2]],GroupVertices[Vertex],0)),1,1,"")</f>
        <v>1</v>
      </c>
      <c r="AE1103" s="105"/>
      <c r="AF1103" s="105"/>
      <c r="AG1103" s="105"/>
      <c r="AH1103" s="105"/>
      <c r="AI1103" s="105"/>
      <c r="AJ1103" s="105"/>
      <c r="AK1103" s="105"/>
      <c r="AL1103" s="105"/>
      <c r="AM1103" s="105"/>
    </row>
    <row r="1104" spans="1:39" ht="15">
      <c r="A1104" s="62" t="s">
        <v>260</v>
      </c>
      <c r="B1104" s="62" t="s">
        <v>258</v>
      </c>
      <c r="C1104" s="63" t="s">
        <v>3598</v>
      </c>
      <c r="D1104" s="64">
        <v>5</v>
      </c>
      <c r="E1104" s="65" t="s">
        <v>132</v>
      </c>
      <c r="F1104" s="66">
        <v>32</v>
      </c>
      <c r="G1104" s="63"/>
      <c r="H1104" s="67"/>
      <c r="I1104" s="68"/>
      <c r="J1104" s="68"/>
      <c r="K1104" s="31" t="s">
        <v>65</v>
      </c>
      <c r="L1104" s="76">
        <v>1104</v>
      </c>
      <c r="M1104" s="76"/>
      <c r="N1104" s="70"/>
      <c r="O1104" s="78" t="s">
        <v>305</v>
      </c>
      <c r="P1104" s="78" t="s">
        <v>501</v>
      </c>
      <c r="Q1104" s="78" t="s">
        <v>995</v>
      </c>
      <c r="R1104" s="78" t="s">
        <v>999</v>
      </c>
      <c r="S1104" s="78"/>
      <c r="T1104" s="78"/>
      <c r="U1104" s="78"/>
      <c r="V1104" s="78"/>
      <c r="W1104" s="81" t="s">
        <v>1674</v>
      </c>
      <c r="X1104" s="81" t="s">
        <v>1674</v>
      </c>
      <c r="Y1104" s="78"/>
      <c r="Z1104" s="78"/>
      <c r="AA1104" s="81" t="s">
        <v>1674</v>
      </c>
      <c r="AB1104" s="79">
        <v>1</v>
      </c>
      <c r="AC1104" s="80" t="str">
        <f>REPLACE(INDEX(GroupVertices[Group],MATCH("~"&amp;Edges[[#This Row],[Vertex 1]],GroupVertices[Vertex],0)),1,1,"")</f>
        <v>1</v>
      </c>
      <c r="AD1104" s="80" t="str">
        <f>REPLACE(INDEX(GroupVertices[Group],MATCH("~"&amp;Edges[[#This Row],[Vertex 2]],GroupVertices[Vertex],0)),1,1,"")</f>
        <v>1</v>
      </c>
      <c r="AE1104" s="105"/>
      <c r="AF1104" s="105"/>
      <c r="AG1104" s="105"/>
      <c r="AH1104" s="105"/>
      <c r="AI1104" s="105"/>
      <c r="AJ1104" s="105"/>
      <c r="AK1104" s="105"/>
      <c r="AL1104" s="105"/>
      <c r="AM1104" s="105"/>
    </row>
    <row r="1105" spans="1:39" ht="15">
      <c r="A1105" s="62" t="s">
        <v>277</v>
      </c>
      <c r="B1105" s="62" t="s">
        <v>258</v>
      </c>
      <c r="C1105" s="63" t="s">
        <v>3598</v>
      </c>
      <c r="D1105" s="64">
        <v>5</v>
      </c>
      <c r="E1105" s="65" t="s">
        <v>132</v>
      </c>
      <c r="F1105" s="66">
        <v>32</v>
      </c>
      <c r="G1105" s="63"/>
      <c r="H1105" s="67"/>
      <c r="I1105" s="68"/>
      <c r="J1105" s="68"/>
      <c r="K1105" s="31" t="s">
        <v>65</v>
      </c>
      <c r="L1105" s="76">
        <v>1105</v>
      </c>
      <c r="M1105" s="76"/>
      <c r="N1105" s="70"/>
      <c r="O1105" s="78" t="s">
        <v>305</v>
      </c>
      <c r="P1105" s="78" t="s">
        <v>501</v>
      </c>
      <c r="Q1105" s="78" t="s">
        <v>1002</v>
      </c>
      <c r="R1105" s="78" t="s">
        <v>999</v>
      </c>
      <c r="S1105" s="78"/>
      <c r="T1105" s="78"/>
      <c r="U1105" s="78"/>
      <c r="V1105" s="78"/>
      <c r="W1105" s="81" t="s">
        <v>1674</v>
      </c>
      <c r="X1105" s="81" t="s">
        <v>1674</v>
      </c>
      <c r="Y1105" s="78"/>
      <c r="Z1105" s="78"/>
      <c r="AA1105" s="81" t="s">
        <v>1674</v>
      </c>
      <c r="AB1105" s="79">
        <v>1</v>
      </c>
      <c r="AC1105" s="80" t="str">
        <f>REPLACE(INDEX(GroupVertices[Group],MATCH("~"&amp;Edges[[#This Row],[Vertex 1]],GroupVertices[Vertex],0)),1,1,"")</f>
        <v>1</v>
      </c>
      <c r="AD1105" s="80" t="str">
        <f>REPLACE(INDEX(GroupVertices[Group],MATCH("~"&amp;Edges[[#This Row],[Vertex 2]],GroupVertices[Vertex],0)),1,1,"")</f>
        <v>1</v>
      </c>
      <c r="AE1105" s="105"/>
      <c r="AF1105" s="105"/>
      <c r="AG1105" s="105"/>
      <c r="AH1105" s="105"/>
      <c r="AI1105" s="105"/>
      <c r="AJ1105" s="105"/>
      <c r="AK1105" s="105"/>
      <c r="AL1105" s="105"/>
      <c r="AM1105" s="105"/>
    </row>
    <row r="1106" spans="1:39" ht="15">
      <c r="A1106" s="62" t="s">
        <v>280</v>
      </c>
      <c r="B1106" s="62" t="s">
        <v>258</v>
      </c>
      <c r="C1106" s="63" t="s">
        <v>3598</v>
      </c>
      <c r="D1106" s="64">
        <v>5.2631578947368425</v>
      </c>
      <c r="E1106" s="65" t="s">
        <v>136</v>
      </c>
      <c r="F1106" s="66">
        <v>31.50943396226415</v>
      </c>
      <c r="G1106" s="63"/>
      <c r="H1106" s="67"/>
      <c r="I1106" s="68"/>
      <c r="J1106" s="68"/>
      <c r="K1106" s="31" t="s">
        <v>65</v>
      </c>
      <c r="L1106" s="76">
        <v>1106</v>
      </c>
      <c r="M1106" s="76"/>
      <c r="N1106" s="70"/>
      <c r="O1106" s="78" t="s">
        <v>305</v>
      </c>
      <c r="P1106" s="78" t="s">
        <v>582</v>
      </c>
      <c r="Q1106" s="78" t="s">
        <v>1142</v>
      </c>
      <c r="R1106" s="78" t="s">
        <v>1140</v>
      </c>
      <c r="S1106" s="78"/>
      <c r="T1106" s="78"/>
      <c r="U1106" s="78"/>
      <c r="V1106" s="78"/>
      <c r="W1106" s="81" t="s">
        <v>1674</v>
      </c>
      <c r="X1106" s="81" t="s">
        <v>1674</v>
      </c>
      <c r="Y1106" s="78"/>
      <c r="Z1106" s="78"/>
      <c r="AA1106" s="81" t="s">
        <v>1674</v>
      </c>
      <c r="AB1106" s="79">
        <v>2</v>
      </c>
      <c r="AC1106" s="80" t="str">
        <f>REPLACE(INDEX(GroupVertices[Group],MATCH("~"&amp;Edges[[#This Row],[Vertex 1]],GroupVertices[Vertex],0)),1,1,"")</f>
        <v>3</v>
      </c>
      <c r="AD1106" s="80" t="str">
        <f>REPLACE(INDEX(GroupVertices[Group],MATCH("~"&amp;Edges[[#This Row],[Vertex 2]],GroupVertices[Vertex],0)),1,1,"")</f>
        <v>1</v>
      </c>
      <c r="AE1106" s="105"/>
      <c r="AF1106" s="105"/>
      <c r="AG1106" s="105"/>
      <c r="AH1106" s="105"/>
      <c r="AI1106" s="105"/>
      <c r="AJ1106" s="105"/>
      <c r="AK1106" s="105"/>
      <c r="AL1106" s="105"/>
      <c r="AM1106" s="105"/>
    </row>
    <row r="1107" spans="1:39" ht="15">
      <c r="A1107" s="62" t="s">
        <v>280</v>
      </c>
      <c r="B1107" s="62" t="s">
        <v>258</v>
      </c>
      <c r="C1107" s="63" t="s">
        <v>3598</v>
      </c>
      <c r="D1107" s="64">
        <v>5.2631578947368425</v>
      </c>
      <c r="E1107" s="65" t="s">
        <v>136</v>
      </c>
      <c r="F1107" s="66">
        <v>31.50943396226415</v>
      </c>
      <c r="G1107" s="63"/>
      <c r="H1107" s="67"/>
      <c r="I1107" s="68"/>
      <c r="J1107" s="68"/>
      <c r="K1107" s="31" t="s">
        <v>65</v>
      </c>
      <c r="L1107" s="76">
        <v>1107</v>
      </c>
      <c r="M1107" s="76"/>
      <c r="N1107" s="70"/>
      <c r="O1107" s="78" t="s">
        <v>305</v>
      </c>
      <c r="P1107" s="78" t="s">
        <v>614</v>
      </c>
      <c r="Q1107" s="78" t="s">
        <v>1189</v>
      </c>
      <c r="R1107" s="78" t="s">
        <v>1608</v>
      </c>
      <c r="S1107" s="78"/>
      <c r="T1107" s="78"/>
      <c r="U1107" s="78"/>
      <c r="V1107" s="78"/>
      <c r="W1107" s="81" t="s">
        <v>1674</v>
      </c>
      <c r="X1107" s="81" t="s">
        <v>1674</v>
      </c>
      <c r="Y1107" s="78"/>
      <c r="Z1107" s="78"/>
      <c r="AA1107" s="81" t="s">
        <v>1674</v>
      </c>
      <c r="AB1107" s="79">
        <v>2</v>
      </c>
      <c r="AC1107" s="80" t="str">
        <f>REPLACE(INDEX(GroupVertices[Group],MATCH("~"&amp;Edges[[#This Row],[Vertex 1]],GroupVertices[Vertex],0)),1,1,"")</f>
        <v>3</v>
      </c>
      <c r="AD1107" s="80" t="str">
        <f>REPLACE(INDEX(GroupVertices[Group],MATCH("~"&amp;Edges[[#This Row],[Vertex 2]],GroupVertices[Vertex],0)),1,1,"")</f>
        <v>1</v>
      </c>
      <c r="AE1107" s="105"/>
      <c r="AF1107" s="105"/>
      <c r="AG1107" s="105"/>
      <c r="AH1107" s="105"/>
      <c r="AI1107" s="105"/>
      <c r="AJ1107" s="105"/>
      <c r="AK1107" s="105"/>
      <c r="AL1107" s="105"/>
      <c r="AM1107" s="105"/>
    </row>
    <row r="1108" spans="1:39" ht="15">
      <c r="A1108" s="62" t="s">
        <v>284</v>
      </c>
      <c r="B1108" s="62" t="s">
        <v>258</v>
      </c>
      <c r="C1108" s="63" t="s">
        <v>3598</v>
      </c>
      <c r="D1108" s="64">
        <v>5</v>
      </c>
      <c r="E1108" s="65" t="s">
        <v>132</v>
      </c>
      <c r="F1108" s="66">
        <v>32</v>
      </c>
      <c r="G1108" s="63"/>
      <c r="H1108" s="67"/>
      <c r="I1108" s="68"/>
      <c r="J1108" s="68"/>
      <c r="K1108" s="31" t="s">
        <v>65</v>
      </c>
      <c r="L1108" s="76">
        <v>1108</v>
      </c>
      <c r="M1108" s="76"/>
      <c r="N1108" s="70"/>
      <c r="O1108" s="78" t="s">
        <v>305</v>
      </c>
      <c r="P1108" s="78" t="s">
        <v>501</v>
      </c>
      <c r="Q1108" s="78" t="s">
        <v>1002</v>
      </c>
      <c r="R1108" s="78" t="s">
        <v>999</v>
      </c>
      <c r="S1108" s="78"/>
      <c r="T1108" s="78"/>
      <c r="U1108" s="78"/>
      <c r="V1108" s="78"/>
      <c r="W1108" s="81" t="s">
        <v>1674</v>
      </c>
      <c r="X1108" s="81" t="s">
        <v>1674</v>
      </c>
      <c r="Y1108" s="78"/>
      <c r="Z1108" s="78"/>
      <c r="AA1108" s="81" t="s">
        <v>1674</v>
      </c>
      <c r="AB1108" s="79">
        <v>1</v>
      </c>
      <c r="AC1108" s="80" t="str">
        <f>REPLACE(INDEX(GroupVertices[Group],MATCH("~"&amp;Edges[[#This Row],[Vertex 1]],GroupVertices[Vertex],0)),1,1,"")</f>
        <v>1</v>
      </c>
      <c r="AD1108" s="80" t="str">
        <f>REPLACE(INDEX(GroupVertices[Group],MATCH("~"&amp;Edges[[#This Row],[Vertex 2]],GroupVertices[Vertex],0)),1,1,"")</f>
        <v>1</v>
      </c>
      <c r="AE1108" s="105"/>
      <c r="AF1108" s="105"/>
      <c r="AG1108" s="105"/>
      <c r="AH1108" s="105"/>
      <c r="AI1108" s="105"/>
      <c r="AJ1108" s="105"/>
      <c r="AK1108" s="105"/>
      <c r="AL1108" s="105"/>
      <c r="AM1108" s="105"/>
    </row>
    <row r="1109" spans="1:39" ht="15">
      <c r="A1109" s="62" t="s">
        <v>288</v>
      </c>
      <c r="B1109" s="62" t="s">
        <v>258</v>
      </c>
      <c r="C1109" s="63" t="s">
        <v>3598</v>
      </c>
      <c r="D1109" s="64">
        <v>5</v>
      </c>
      <c r="E1109" s="65" t="s">
        <v>132</v>
      </c>
      <c r="F1109" s="66">
        <v>32</v>
      </c>
      <c r="G1109" s="63"/>
      <c r="H1109" s="67"/>
      <c r="I1109" s="68"/>
      <c r="J1109" s="68"/>
      <c r="K1109" s="31" t="s">
        <v>65</v>
      </c>
      <c r="L1109" s="76">
        <v>1109</v>
      </c>
      <c r="M1109" s="76"/>
      <c r="N1109" s="70"/>
      <c r="O1109" s="78" t="s">
        <v>305</v>
      </c>
      <c r="P1109" s="78" t="s">
        <v>615</v>
      </c>
      <c r="Q1109" s="78" t="s">
        <v>1190</v>
      </c>
      <c r="R1109" s="78" t="s">
        <v>1609</v>
      </c>
      <c r="S1109" s="78"/>
      <c r="T1109" s="78"/>
      <c r="U1109" s="78"/>
      <c r="V1109" s="78"/>
      <c r="W1109" s="81" t="s">
        <v>1674</v>
      </c>
      <c r="X1109" s="81" t="s">
        <v>1674</v>
      </c>
      <c r="Y1109" s="78"/>
      <c r="Z1109" s="78"/>
      <c r="AA1109" s="81" t="s">
        <v>1674</v>
      </c>
      <c r="AB1109" s="79">
        <v>1</v>
      </c>
      <c r="AC1109" s="80" t="str">
        <f>REPLACE(INDEX(GroupVertices[Group],MATCH("~"&amp;Edges[[#This Row],[Vertex 1]],GroupVertices[Vertex],0)),1,1,"")</f>
        <v>3</v>
      </c>
      <c r="AD1109" s="80" t="str">
        <f>REPLACE(INDEX(GroupVertices[Group],MATCH("~"&amp;Edges[[#This Row],[Vertex 2]],GroupVertices[Vertex],0)),1,1,"")</f>
        <v>1</v>
      </c>
      <c r="AE1109" s="105"/>
      <c r="AF1109" s="105"/>
      <c r="AG1109" s="105"/>
      <c r="AH1109" s="105"/>
      <c r="AI1109" s="105"/>
      <c r="AJ1109" s="105"/>
      <c r="AK1109" s="105"/>
      <c r="AL1109" s="105"/>
      <c r="AM1109" s="105"/>
    </row>
    <row r="1110" spans="1:39" ht="15">
      <c r="A1110" s="62" t="s">
        <v>260</v>
      </c>
      <c r="B1110" s="62" t="s">
        <v>223</v>
      </c>
      <c r="C1110" s="63" t="s">
        <v>3598</v>
      </c>
      <c r="D1110" s="64">
        <v>5.2631578947368425</v>
      </c>
      <c r="E1110" s="65" t="s">
        <v>136</v>
      </c>
      <c r="F1110" s="66">
        <v>31.50943396226415</v>
      </c>
      <c r="G1110" s="63"/>
      <c r="H1110" s="67"/>
      <c r="I1110" s="68"/>
      <c r="J1110" s="68"/>
      <c r="K1110" s="31" t="s">
        <v>65</v>
      </c>
      <c r="L1110" s="76">
        <v>1110</v>
      </c>
      <c r="M1110" s="76"/>
      <c r="N1110" s="70"/>
      <c r="O1110" s="78" t="s">
        <v>305</v>
      </c>
      <c r="P1110" s="78" t="s">
        <v>370</v>
      </c>
      <c r="Q1110" s="78" t="s">
        <v>789</v>
      </c>
      <c r="R1110" s="78" t="s">
        <v>927</v>
      </c>
      <c r="S1110" s="78"/>
      <c r="T1110" s="78"/>
      <c r="U1110" s="78"/>
      <c r="V1110" s="78"/>
      <c r="W1110" s="81" t="s">
        <v>1674</v>
      </c>
      <c r="X1110" s="81" t="s">
        <v>1674</v>
      </c>
      <c r="Y1110" s="78"/>
      <c r="Z1110" s="78"/>
      <c r="AA1110" s="81" t="s">
        <v>1674</v>
      </c>
      <c r="AB1110" s="79">
        <v>2</v>
      </c>
      <c r="AC1110" s="80" t="str">
        <f>REPLACE(INDEX(GroupVertices[Group],MATCH("~"&amp;Edges[[#This Row],[Vertex 1]],GroupVertices[Vertex],0)),1,1,"")</f>
        <v>1</v>
      </c>
      <c r="AD1110" s="80" t="str">
        <f>REPLACE(INDEX(GroupVertices[Group],MATCH("~"&amp;Edges[[#This Row],[Vertex 2]],GroupVertices[Vertex],0)),1,1,"")</f>
        <v>5</v>
      </c>
      <c r="AE1110" s="105"/>
      <c r="AF1110" s="105"/>
      <c r="AG1110" s="105"/>
      <c r="AH1110" s="105"/>
      <c r="AI1110" s="105"/>
      <c r="AJ1110" s="105"/>
      <c r="AK1110" s="105"/>
      <c r="AL1110" s="105"/>
      <c r="AM1110" s="105"/>
    </row>
    <row r="1111" spans="1:39" ht="15">
      <c r="A1111" s="62" t="s">
        <v>260</v>
      </c>
      <c r="B1111" s="62" t="s">
        <v>223</v>
      </c>
      <c r="C1111" s="63" t="s">
        <v>3598</v>
      </c>
      <c r="D1111" s="64">
        <v>5.2631578947368425</v>
      </c>
      <c r="E1111" s="65" t="s">
        <v>136</v>
      </c>
      <c r="F1111" s="66">
        <v>31.50943396226415</v>
      </c>
      <c r="G1111" s="63"/>
      <c r="H1111" s="67"/>
      <c r="I1111" s="68"/>
      <c r="J1111" s="68"/>
      <c r="K1111" s="31" t="s">
        <v>65</v>
      </c>
      <c r="L1111" s="76">
        <v>1111</v>
      </c>
      <c r="M1111" s="76"/>
      <c r="N1111" s="70"/>
      <c r="O1111" s="78" t="s">
        <v>305</v>
      </c>
      <c r="P1111" s="78" t="s">
        <v>370</v>
      </c>
      <c r="Q1111" s="78" t="s">
        <v>789</v>
      </c>
      <c r="R1111" s="78" t="s">
        <v>928</v>
      </c>
      <c r="S1111" s="78"/>
      <c r="T1111" s="78"/>
      <c r="U1111" s="78"/>
      <c r="V1111" s="78"/>
      <c r="W1111" s="81" t="s">
        <v>1674</v>
      </c>
      <c r="X1111" s="81" t="s">
        <v>1674</v>
      </c>
      <c r="Y1111" s="78"/>
      <c r="Z1111" s="78"/>
      <c r="AA1111" s="81" t="s">
        <v>1674</v>
      </c>
      <c r="AB1111" s="79">
        <v>2</v>
      </c>
      <c r="AC1111" s="80" t="str">
        <f>REPLACE(INDEX(GroupVertices[Group],MATCH("~"&amp;Edges[[#This Row],[Vertex 1]],GroupVertices[Vertex],0)),1,1,"")</f>
        <v>1</v>
      </c>
      <c r="AD1111" s="80" t="str">
        <f>REPLACE(INDEX(GroupVertices[Group],MATCH("~"&amp;Edges[[#This Row],[Vertex 2]],GroupVertices[Vertex],0)),1,1,"")</f>
        <v>5</v>
      </c>
      <c r="AE1111" s="105"/>
      <c r="AF1111" s="105"/>
      <c r="AG1111" s="105"/>
      <c r="AH1111" s="105"/>
      <c r="AI1111" s="105"/>
      <c r="AJ1111" s="105"/>
      <c r="AK1111" s="105"/>
      <c r="AL1111" s="105"/>
      <c r="AM1111" s="105"/>
    </row>
    <row r="1112" spans="1:39" ht="15">
      <c r="A1112" s="62" t="s">
        <v>260</v>
      </c>
      <c r="B1112" s="62" t="s">
        <v>250</v>
      </c>
      <c r="C1112" s="63" t="s">
        <v>3613</v>
      </c>
      <c r="D1112" s="64">
        <v>8.68421052631579</v>
      </c>
      <c r="E1112" s="65" t="s">
        <v>136</v>
      </c>
      <c r="F1112" s="66">
        <v>25.132075471698112</v>
      </c>
      <c r="G1112" s="63"/>
      <c r="H1112" s="67"/>
      <c r="I1112" s="68"/>
      <c r="J1112" s="68"/>
      <c r="K1112" s="31" t="s">
        <v>65</v>
      </c>
      <c r="L1112" s="76">
        <v>1112</v>
      </c>
      <c r="M1112" s="76"/>
      <c r="N1112" s="70"/>
      <c r="O1112" s="78" t="s">
        <v>305</v>
      </c>
      <c r="P1112" s="78" t="s">
        <v>616</v>
      </c>
      <c r="Q1112" s="78" t="s">
        <v>1191</v>
      </c>
      <c r="R1112" s="78" t="s">
        <v>1610</v>
      </c>
      <c r="S1112" s="78"/>
      <c r="T1112" s="78"/>
      <c r="U1112" s="78"/>
      <c r="V1112" s="78"/>
      <c r="W1112" s="81" t="s">
        <v>1674</v>
      </c>
      <c r="X1112" s="81" t="s">
        <v>1674</v>
      </c>
      <c r="Y1112" s="78"/>
      <c r="Z1112" s="78"/>
      <c r="AA1112" s="81" t="s">
        <v>1674</v>
      </c>
      <c r="AB1112" s="79">
        <v>15</v>
      </c>
      <c r="AC1112" s="80" t="str">
        <f>REPLACE(INDEX(GroupVertices[Group],MATCH("~"&amp;Edges[[#This Row],[Vertex 1]],GroupVertices[Vertex],0)),1,1,"")</f>
        <v>1</v>
      </c>
      <c r="AD1112" s="80" t="str">
        <f>REPLACE(INDEX(GroupVertices[Group],MATCH("~"&amp;Edges[[#This Row],[Vertex 2]],GroupVertices[Vertex],0)),1,1,"")</f>
        <v>1</v>
      </c>
      <c r="AE1112" s="105"/>
      <c r="AF1112" s="105"/>
      <c r="AG1112" s="105"/>
      <c r="AH1112" s="105"/>
      <c r="AI1112" s="105"/>
      <c r="AJ1112" s="105"/>
      <c r="AK1112" s="105"/>
      <c r="AL1112" s="105"/>
      <c r="AM1112" s="105"/>
    </row>
    <row r="1113" spans="1:39" ht="15">
      <c r="A1113" s="62" t="s">
        <v>260</v>
      </c>
      <c r="B1113" s="62" t="s">
        <v>250</v>
      </c>
      <c r="C1113" s="63" t="s">
        <v>3613</v>
      </c>
      <c r="D1113" s="64">
        <v>8.68421052631579</v>
      </c>
      <c r="E1113" s="65" t="s">
        <v>136</v>
      </c>
      <c r="F1113" s="66">
        <v>25.132075471698112</v>
      </c>
      <c r="G1113" s="63"/>
      <c r="H1113" s="67"/>
      <c r="I1113" s="68"/>
      <c r="J1113" s="68"/>
      <c r="K1113" s="31" t="s">
        <v>65</v>
      </c>
      <c r="L1113" s="76">
        <v>1113</v>
      </c>
      <c r="M1113" s="76"/>
      <c r="N1113" s="70"/>
      <c r="O1113" s="78" t="s">
        <v>305</v>
      </c>
      <c r="P1113" s="78" t="s">
        <v>616</v>
      </c>
      <c r="Q1113" s="78" t="s">
        <v>1191</v>
      </c>
      <c r="R1113" s="78" t="s">
        <v>1611</v>
      </c>
      <c r="S1113" s="78"/>
      <c r="T1113" s="78"/>
      <c r="U1113" s="78"/>
      <c r="V1113" s="78"/>
      <c r="W1113" s="81" t="s">
        <v>1674</v>
      </c>
      <c r="X1113" s="81" t="s">
        <v>1674</v>
      </c>
      <c r="Y1113" s="78"/>
      <c r="Z1113" s="78"/>
      <c r="AA1113" s="81" t="s">
        <v>1674</v>
      </c>
      <c r="AB1113" s="79">
        <v>15</v>
      </c>
      <c r="AC1113" s="80" t="str">
        <f>REPLACE(INDEX(GroupVertices[Group],MATCH("~"&amp;Edges[[#This Row],[Vertex 1]],GroupVertices[Vertex],0)),1,1,"")</f>
        <v>1</v>
      </c>
      <c r="AD1113" s="80" t="str">
        <f>REPLACE(INDEX(GroupVertices[Group],MATCH("~"&amp;Edges[[#This Row],[Vertex 2]],GroupVertices[Vertex],0)),1,1,"")</f>
        <v>1</v>
      </c>
      <c r="AE1113" s="105"/>
      <c r="AF1113" s="105"/>
      <c r="AG1113" s="105"/>
      <c r="AH1113" s="105"/>
      <c r="AI1113" s="105"/>
      <c r="AJ1113" s="105"/>
      <c r="AK1113" s="105"/>
      <c r="AL1113" s="105"/>
      <c r="AM1113" s="105"/>
    </row>
    <row r="1114" spans="1:39" ht="15">
      <c r="A1114" s="62" t="s">
        <v>260</v>
      </c>
      <c r="B1114" s="62" t="s">
        <v>250</v>
      </c>
      <c r="C1114" s="63" t="s">
        <v>3613</v>
      </c>
      <c r="D1114" s="64">
        <v>8.68421052631579</v>
      </c>
      <c r="E1114" s="65" t="s">
        <v>136</v>
      </c>
      <c r="F1114" s="66">
        <v>25.132075471698112</v>
      </c>
      <c r="G1114" s="63"/>
      <c r="H1114" s="67"/>
      <c r="I1114" s="68"/>
      <c r="J1114" s="68"/>
      <c r="K1114" s="31" t="s">
        <v>65</v>
      </c>
      <c r="L1114" s="76">
        <v>1114</v>
      </c>
      <c r="M1114" s="76"/>
      <c r="N1114" s="70"/>
      <c r="O1114" s="78" t="s">
        <v>305</v>
      </c>
      <c r="P1114" s="78" t="s">
        <v>616</v>
      </c>
      <c r="Q1114" s="78" t="s">
        <v>1192</v>
      </c>
      <c r="R1114" s="78" t="s">
        <v>1610</v>
      </c>
      <c r="S1114" s="78"/>
      <c r="T1114" s="78"/>
      <c r="U1114" s="78"/>
      <c r="V1114" s="78"/>
      <c r="W1114" s="81" t="s">
        <v>1674</v>
      </c>
      <c r="X1114" s="81" t="s">
        <v>1674</v>
      </c>
      <c r="Y1114" s="78"/>
      <c r="Z1114" s="78"/>
      <c r="AA1114" s="81" t="s">
        <v>1674</v>
      </c>
      <c r="AB1114" s="79">
        <v>15</v>
      </c>
      <c r="AC1114" s="80" t="str">
        <f>REPLACE(INDEX(GroupVertices[Group],MATCH("~"&amp;Edges[[#This Row],[Vertex 1]],GroupVertices[Vertex],0)),1,1,"")</f>
        <v>1</v>
      </c>
      <c r="AD1114" s="80" t="str">
        <f>REPLACE(INDEX(GroupVertices[Group],MATCH("~"&amp;Edges[[#This Row],[Vertex 2]],GroupVertices[Vertex],0)),1,1,"")</f>
        <v>1</v>
      </c>
      <c r="AE1114" s="105"/>
      <c r="AF1114" s="105"/>
      <c r="AG1114" s="105"/>
      <c r="AH1114" s="105"/>
      <c r="AI1114" s="105"/>
      <c r="AJ1114" s="105"/>
      <c r="AK1114" s="105"/>
      <c r="AL1114" s="105"/>
      <c r="AM1114" s="105"/>
    </row>
    <row r="1115" spans="1:39" ht="15">
      <c r="A1115" s="62" t="s">
        <v>260</v>
      </c>
      <c r="B1115" s="62" t="s">
        <v>250</v>
      </c>
      <c r="C1115" s="63" t="s">
        <v>3613</v>
      </c>
      <c r="D1115" s="64">
        <v>8.68421052631579</v>
      </c>
      <c r="E1115" s="65" t="s">
        <v>136</v>
      </c>
      <c r="F1115" s="66">
        <v>25.132075471698112</v>
      </c>
      <c r="G1115" s="63"/>
      <c r="H1115" s="67"/>
      <c r="I1115" s="68"/>
      <c r="J1115" s="68"/>
      <c r="K1115" s="31" t="s">
        <v>65</v>
      </c>
      <c r="L1115" s="76">
        <v>1115</v>
      </c>
      <c r="M1115" s="76"/>
      <c r="N1115" s="70"/>
      <c r="O1115" s="78" t="s">
        <v>305</v>
      </c>
      <c r="P1115" s="78" t="s">
        <v>616</v>
      </c>
      <c r="Q1115" s="78" t="s">
        <v>1192</v>
      </c>
      <c r="R1115" s="78" t="s">
        <v>1611</v>
      </c>
      <c r="S1115" s="78"/>
      <c r="T1115" s="78"/>
      <c r="U1115" s="78"/>
      <c r="V1115" s="78"/>
      <c r="W1115" s="81" t="s">
        <v>1674</v>
      </c>
      <c r="X1115" s="81" t="s">
        <v>1674</v>
      </c>
      <c r="Y1115" s="78"/>
      <c r="Z1115" s="78"/>
      <c r="AA1115" s="81" t="s">
        <v>1674</v>
      </c>
      <c r="AB1115" s="79">
        <v>15</v>
      </c>
      <c r="AC1115" s="80" t="str">
        <f>REPLACE(INDEX(GroupVertices[Group],MATCH("~"&amp;Edges[[#This Row],[Vertex 1]],GroupVertices[Vertex],0)),1,1,"")</f>
        <v>1</v>
      </c>
      <c r="AD1115" s="80" t="str">
        <f>REPLACE(INDEX(GroupVertices[Group],MATCH("~"&amp;Edges[[#This Row],[Vertex 2]],GroupVertices[Vertex],0)),1,1,"")</f>
        <v>1</v>
      </c>
      <c r="AE1115" s="105"/>
      <c r="AF1115" s="105"/>
      <c r="AG1115" s="105"/>
      <c r="AH1115" s="105"/>
      <c r="AI1115" s="105"/>
      <c r="AJ1115" s="105"/>
      <c r="AK1115" s="105"/>
      <c r="AL1115" s="105"/>
      <c r="AM1115" s="105"/>
    </row>
    <row r="1116" spans="1:39" ht="15">
      <c r="A1116" s="62" t="s">
        <v>260</v>
      </c>
      <c r="B1116" s="62" t="s">
        <v>250</v>
      </c>
      <c r="C1116" s="63" t="s">
        <v>3613</v>
      </c>
      <c r="D1116" s="64">
        <v>8.68421052631579</v>
      </c>
      <c r="E1116" s="65" t="s">
        <v>136</v>
      </c>
      <c r="F1116" s="66">
        <v>25.132075471698112</v>
      </c>
      <c r="G1116" s="63"/>
      <c r="H1116" s="67"/>
      <c r="I1116" s="68"/>
      <c r="J1116" s="68"/>
      <c r="K1116" s="31" t="s">
        <v>65</v>
      </c>
      <c r="L1116" s="76">
        <v>1116</v>
      </c>
      <c r="M1116" s="76"/>
      <c r="N1116" s="70"/>
      <c r="O1116" s="78" t="s">
        <v>305</v>
      </c>
      <c r="P1116" s="78" t="s">
        <v>616</v>
      </c>
      <c r="Q1116" s="78" t="s">
        <v>1193</v>
      </c>
      <c r="R1116" s="78" t="s">
        <v>1610</v>
      </c>
      <c r="S1116" s="78"/>
      <c r="T1116" s="78"/>
      <c r="U1116" s="78"/>
      <c r="V1116" s="78"/>
      <c r="W1116" s="81" t="s">
        <v>1674</v>
      </c>
      <c r="X1116" s="81" t="s">
        <v>1674</v>
      </c>
      <c r="Y1116" s="78"/>
      <c r="Z1116" s="78"/>
      <c r="AA1116" s="81" t="s">
        <v>1674</v>
      </c>
      <c r="AB1116" s="79">
        <v>15</v>
      </c>
      <c r="AC1116" s="80" t="str">
        <f>REPLACE(INDEX(GroupVertices[Group],MATCH("~"&amp;Edges[[#This Row],[Vertex 1]],GroupVertices[Vertex],0)),1,1,"")</f>
        <v>1</v>
      </c>
      <c r="AD1116" s="80" t="str">
        <f>REPLACE(INDEX(GroupVertices[Group],MATCH("~"&amp;Edges[[#This Row],[Vertex 2]],GroupVertices[Vertex],0)),1,1,"")</f>
        <v>1</v>
      </c>
      <c r="AE1116" s="105"/>
      <c r="AF1116" s="105"/>
      <c r="AG1116" s="105"/>
      <c r="AH1116" s="105"/>
      <c r="AI1116" s="105"/>
      <c r="AJ1116" s="105"/>
      <c r="AK1116" s="105"/>
      <c r="AL1116" s="105"/>
      <c r="AM1116" s="105"/>
    </row>
    <row r="1117" spans="1:39" ht="15">
      <c r="A1117" s="62" t="s">
        <v>260</v>
      </c>
      <c r="B1117" s="62" t="s">
        <v>250</v>
      </c>
      <c r="C1117" s="63" t="s">
        <v>3613</v>
      </c>
      <c r="D1117" s="64">
        <v>8.68421052631579</v>
      </c>
      <c r="E1117" s="65" t="s">
        <v>136</v>
      </c>
      <c r="F1117" s="66">
        <v>25.132075471698112</v>
      </c>
      <c r="G1117" s="63"/>
      <c r="H1117" s="67"/>
      <c r="I1117" s="68"/>
      <c r="J1117" s="68"/>
      <c r="K1117" s="31" t="s">
        <v>65</v>
      </c>
      <c r="L1117" s="76">
        <v>1117</v>
      </c>
      <c r="M1117" s="76"/>
      <c r="N1117" s="70"/>
      <c r="O1117" s="78" t="s">
        <v>305</v>
      </c>
      <c r="P1117" s="78" t="s">
        <v>616</v>
      </c>
      <c r="Q1117" s="78" t="s">
        <v>1193</v>
      </c>
      <c r="R1117" s="78" t="s">
        <v>1611</v>
      </c>
      <c r="S1117" s="78"/>
      <c r="T1117" s="78"/>
      <c r="U1117" s="78"/>
      <c r="V1117" s="78"/>
      <c r="W1117" s="81" t="s">
        <v>1674</v>
      </c>
      <c r="X1117" s="81" t="s">
        <v>1674</v>
      </c>
      <c r="Y1117" s="78"/>
      <c r="Z1117" s="78"/>
      <c r="AA1117" s="81" t="s">
        <v>1674</v>
      </c>
      <c r="AB1117" s="79">
        <v>15</v>
      </c>
      <c r="AC1117" s="80" t="str">
        <f>REPLACE(INDEX(GroupVertices[Group],MATCH("~"&amp;Edges[[#This Row],[Vertex 1]],GroupVertices[Vertex],0)),1,1,"")</f>
        <v>1</v>
      </c>
      <c r="AD1117" s="80" t="str">
        <f>REPLACE(INDEX(GroupVertices[Group],MATCH("~"&amp;Edges[[#This Row],[Vertex 2]],GroupVertices[Vertex],0)),1,1,"")</f>
        <v>1</v>
      </c>
      <c r="AE1117" s="105"/>
      <c r="AF1117" s="105"/>
      <c r="AG1117" s="105"/>
      <c r="AH1117" s="105"/>
      <c r="AI1117" s="105"/>
      <c r="AJ1117" s="105"/>
      <c r="AK1117" s="105"/>
      <c r="AL1117" s="105"/>
      <c r="AM1117" s="105"/>
    </row>
    <row r="1118" spans="1:39" ht="15">
      <c r="A1118" s="62" t="s">
        <v>260</v>
      </c>
      <c r="B1118" s="62" t="s">
        <v>250</v>
      </c>
      <c r="C1118" s="63" t="s">
        <v>3613</v>
      </c>
      <c r="D1118" s="64">
        <v>8.68421052631579</v>
      </c>
      <c r="E1118" s="65" t="s">
        <v>136</v>
      </c>
      <c r="F1118" s="66">
        <v>25.132075471698112</v>
      </c>
      <c r="G1118" s="63"/>
      <c r="H1118" s="67"/>
      <c r="I1118" s="68"/>
      <c r="J1118" s="68"/>
      <c r="K1118" s="31" t="s">
        <v>65</v>
      </c>
      <c r="L1118" s="76">
        <v>1118</v>
      </c>
      <c r="M1118" s="76"/>
      <c r="N1118" s="70"/>
      <c r="O1118" s="78" t="s">
        <v>305</v>
      </c>
      <c r="P1118" s="78" t="s">
        <v>616</v>
      </c>
      <c r="Q1118" s="78" t="s">
        <v>1194</v>
      </c>
      <c r="R1118" s="78" t="s">
        <v>1610</v>
      </c>
      <c r="S1118" s="78"/>
      <c r="T1118" s="78"/>
      <c r="U1118" s="78"/>
      <c r="V1118" s="78"/>
      <c r="W1118" s="81" t="s">
        <v>1674</v>
      </c>
      <c r="X1118" s="81" t="s">
        <v>1674</v>
      </c>
      <c r="Y1118" s="78"/>
      <c r="Z1118" s="78"/>
      <c r="AA1118" s="81" t="s">
        <v>1674</v>
      </c>
      <c r="AB1118" s="79">
        <v>15</v>
      </c>
      <c r="AC1118" s="80" t="str">
        <f>REPLACE(INDEX(GroupVertices[Group],MATCH("~"&amp;Edges[[#This Row],[Vertex 1]],GroupVertices[Vertex],0)),1,1,"")</f>
        <v>1</v>
      </c>
      <c r="AD1118" s="80" t="str">
        <f>REPLACE(INDEX(GroupVertices[Group],MATCH("~"&amp;Edges[[#This Row],[Vertex 2]],GroupVertices[Vertex],0)),1,1,"")</f>
        <v>1</v>
      </c>
      <c r="AE1118" s="105"/>
      <c r="AF1118" s="105"/>
      <c r="AG1118" s="105"/>
      <c r="AH1118" s="105"/>
      <c r="AI1118" s="105"/>
      <c r="AJ1118" s="105"/>
      <c r="AK1118" s="105"/>
      <c r="AL1118" s="105"/>
      <c r="AM1118" s="105"/>
    </row>
    <row r="1119" spans="1:39" ht="15">
      <c r="A1119" s="62" t="s">
        <v>260</v>
      </c>
      <c r="B1119" s="62" t="s">
        <v>250</v>
      </c>
      <c r="C1119" s="63" t="s">
        <v>3613</v>
      </c>
      <c r="D1119" s="64">
        <v>8.68421052631579</v>
      </c>
      <c r="E1119" s="65" t="s">
        <v>136</v>
      </c>
      <c r="F1119" s="66">
        <v>25.132075471698112</v>
      </c>
      <c r="G1119" s="63"/>
      <c r="H1119" s="67"/>
      <c r="I1119" s="68"/>
      <c r="J1119" s="68"/>
      <c r="K1119" s="31" t="s">
        <v>65</v>
      </c>
      <c r="L1119" s="76">
        <v>1119</v>
      </c>
      <c r="M1119" s="76"/>
      <c r="N1119" s="70"/>
      <c r="O1119" s="78" t="s">
        <v>305</v>
      </c>
      <c r="P1119" s="78" t="s">
        <v>616</v>
      </c>
      <c r="Q1119" s="78" t="s">
        <v>1194</v>
      </c>
      <c r="R1119" s="78" t="s">
        <v>1611</v>
      </c>
      <c r="S1119" s="78"/>
      <c r="T1119" s="78"/>
      <c r="U1119" s="78"/>
      <c r="V1119" s="78"/>
      <c r="W1119" s="81" t="s">
        <v>1674</v>
      </c>
      <c r="X1119" s="81" t="s">
        <v>1674</v>
      </c>
      <c r="Y1119" s="78"/>
      <c r="Z1119" s="78"/>
      <c r="AA1119" s="81" t="s">
        <v>1674</v>
      </c>
      <c r="AB1119" s="79">
        <v>15</v>
      </c>
      <c r="AC1119" s="80" t="str">
        <f>REPLACE(INDEX(GroupVertices[Group],MATCH("~"&amp;Edges[[#This Row],[Vertex 1]],GroupVertices[Vertex],0)),1,1,"")</f>
        <v>1</v>
      </c>
      <c r="AD1119" s="80" t="str">
        <f>REPLACE(INDEX(GroupVertices[Group],MATCH("~"&amp;Edges[[#This Row],[Vertex 2]],GroupVertices[Vertex],0)),1,1,"")</f>
        <v>1</v>
      </c>
      <c r="AE1119" s="105"/>
      <c r="AF1119" s="105"/>
      <c r="AG1119" s="105"/>
      <c r="AH1119" s="105"/>
      <c r="AI1119" s="105"/>
      <c r="AJ1119" s="105"/>
      <c r="AK1119" s="105"/>
      <c r="AL1119" s="105"/>
      <c r="AM1119" s="105"/>
    </row>
    <row r="1120" spans="1:39" ht="15">
      <c r="A1120" s="62" t="s">
        <v>260</v>
      </c>
      <c r="B1120" s="62" t="s">
        <v>250</v>
      </c>
      <c r="C1120" s="63" t="s">
        <v>3613</v>
      </c>
      <c r="D1120" s="64">
        <v>8.68421052631579</v>
      </c>
      <c r="E1120" s="65" t="s">
        <v>136</v>
      </c>
      <c r="F1120" s="66">
        <v>25.132075471698112</v>
      </c>
      <c r="G1120" s="63"/>
      <c r="H1120" s="67"/>
      <c r="I1120" s="68"/>
      <c r="J1120" s="68"/>
      <c r="K1120" s="31" t="s">
        <v>65</v>
      </c>
      <c r="L1120" s="76">
        <v>1120</v>
      </c>
      <c r="M1120" s="76"/>
      <c r="N1120" s="70"/>
      <c r="O1120" s="78" t="s">
        <v>305</v>
      </c>
      <c r="P1120" s="78" t="s">
        <v>616</v>
      </c>
      <c r="Q1120" s="78" t="s">
        <v>1195</v>
      </c>
      <c r="R1120" s="78" t="s">
        <v>1610</v>
      </c>
      <c r="S1120" s="78"/>
      <c r="T1120" s="78"/>
      <c r="U1120" s="78"/>
      <c r="V1120" s="78"/>
      <c r="W1120" s="81" t="s">
        <v>1674</v>
      </c>
      <c r="X1120" s="81" t="s">
        <v>1674</v>
      </c>
      <c r="Y1120" s="78"/>
      <c r="Z1120" s="78"/>
      <c r="AA1120" s="81" t="s">
        <v>1674</v>
      </c>
      <c r="AB1120" s="79">
        <v>15</v>
      </c>
      <c r="AC1120" s="80" t="str">
        <f>REPLACE(INDEX(GroupVertices[Group],MATCH("~"&amp;Edges[[#This Row],[Vertex 1]],GroupVertices[Vertex],0)),1,1,"")</f>
        <v>1</v>
      </c>
      <c r="AD1120" s="80" t="str">
        <f>REPLACE(INDEX(GroupVertices[Group],MATCH("~"&amp;Edges[[#This Row],[Vertex 2]],GroupVertices[Vertex],0)),1,1,"")</f>
        <v>1</v>
      </c>
      <c r="AE1120" s="105"/>
      <c r="AF1120" s="105"/>
      <c r="AG1120" s="105"/>
      <c r="AH1120" s="105"/>
      <c r="AI1120" s="105"/>
      <c r="AJ1120" s="105"/>
      <c r="AK1120" s="105"/>
      <c r="AL1120" s="105"/>
      <c r="AM1120" s="105"/>
    </row>
    <row r="1121" spans="1:39" ht="15">
      <c r="A1121" s="62" t="s">
        <v>260</v>
      </c>
      <c r="B1121" s="62" t="s">
        <v>250</v>
      </c>
      <c r="C1121" s="63" t="s">
        <v>3613</v>
      </c>
      <c r="D1121" s="64">
        <v>8.68421052631579</v>
      </c>
      <c r="E1121" s="65" t="s">
        <v>136</v>
      </c>
      <c r="F1121" s="66">
        <v>25.132075471698112</v>
      </c>
      <c r="G1121" s="63"/>
      <c r="H1121" s="67"/>
      <c r="I1121" s="68"/>
      <c r="J1121" s="68"/>
      <c r="K1121" s="31" t="s">
        <v>65</v>
      </c>
      <c r="L1121" s="76">
        <v>1121</v>
      </c>
      <c r="M1121" s="76"/>
      <c r="N1121" s="70"/>
      <c r="O1121" s="78" t="s">
        <v>305</v>
      </c>
      <c r="P1121" s="78" t="s">
        <v>616</v>
      </c>
      <c r="Q1121" s="78" t="s">
        <v>1195</v>
      </c>
      <c r="R1121" s="78" t="s">
        <v>1611</v>
      </c>
      <c r="S1121" s="78"/>
      <c r="T1121" s="78"/>
      <c r="U1121" s="78"/>
      <c r="V1121" s="78"/>
      <c r="W1121" s="81" t="s">
        <v>1674</v>
      </c>
      <c r="X1121" s="81" t="s">
        <v>1674</v>
      </c>
      <c r="Y1121" s="78"/>
      <c r="Z1121" s="78"/>
      <c r="AA1121" s="81" t="s">
        <v>1674</v>
      </c>
      <c r="AB1121" s="79">
        <v>15</v>
      </c>
      <c r="AC1121" s="80" t="str">
        <f>REPLACE(INDEX(GroupVertices[Group],MATCH("~"&amp;Edges[[#This Row],[Vertex 1]],GroupVertices[Vertex],0)),1,1,"")</f>
        <v>1</v>
      </c>
      <c r="AD1121" s="80" t="str">
        <f>REPLACE(INDEX(GroupVertices[Group],MATCH("~"&amp;Edges[[#This Row],[Vertex 2]],GroupVertices[Vertex],0)),1,1,"")</f>
        <v>1</v>
      </c>
      <c r="AE1121" s="105"/>
      <c r="AF1121" s="105"/>
      <c r="AG1121" s="105"/>
      <c r="AH1121" s="105"/>
      <c r="AI1121" s="105"/>
      <c r="AJ1121" s="105"/>
      <c r="AK1121" s="105"/>
      <c r="AL1121" s="105"/>
      <c r="AM1121" s="105"/>
    </row>
    <row r="1122" spans="1:39" ht="15">
      <c r="A1122" s="62" t="s">
        <v>260</v>
      </c>
      <c r="B1122" s="62" t="s">
        <v>250</v>
      </c>
      <c r="C1122" s="63" t="s">
        <v>3613</v>
      </c>
      <c r="D1122" s="64">
        <v>8.68421052631579</v>
      </c>
      <c r="E1122" s="65" t="s">
        <v>136</v>
      </c>
      <c r="F1122" s="66">
        <v>25.132075471698112</v>
      </c>
      <c r="G1122" s="63"/>
      <c r="H1122" s="67"/>
      <c r="I1122" s="68"/>
      <c r="J1122" s="68"/>
      <c r="K1122" s="31" t="s">
        <v>65</v>
      </c>
      <c r="L1122" s="76">
        <v>1122</v>
      </c>
      <c r="M1122" s="76"/>
      <c r="N1122" s="70"/>
      <c r="O1122" s="78" t="s">
        <v>305</v>
      </c>
      <c r="P1122" s="78" t="s">
        <v>616</v>
      </c>
      <c r="Q1122" s="78" t="s">
        <v>1196</v>
      </c>
      <c r="R1122" s="78" t="s">
        <v>1610</v>
      </c>
      <c r="S1122" s="78"/>
      <c r="T1122" s="78"/>
      <c r="U1122" s="78"/>
      <c r="V1122" s="78"/>
      <c r="W1122" s="81" t="s">
        <v>1674</v>
      </c>
      <c r="X1122" s="81" t="s">
        <v>1674</v>
      </c>
      <c r="Y1122" s="78"/>
      <c r="Z1122" s="78"/>
      <c r="AA1122" s="81" t="s">
        <v>1674</v>
      </c>
      <c r="AB1122" s="79">
        <v>15</v>
      </c>
      <c r="AC1122" s="80" t="str">
        <f>REPLACE(INDEX(GroupVertices[Group],MATCH("~"&amp;Edges[[#This Row],[Vertex 1]],GroupVertices[Vertex],0)),1,1,"")</f>
        <v>1</v>
      </c>
      <c r="AD1122" s="80" t="str">
        <f>REPLACE(INDEX(GroupVertices[Group],MATCH("~"&amp;Edges[[#This Row],[Vertex 2]],GroupVertices[Vertex],0)),1,1,"")</f>
        <v>1</v>
      </c>
      <c r="AE1122" s="105"/>
      <c r="AF1122" s="105"/>
      <c r="AG1122" s="105"/>
      <c r="AH1122" s="105"/>
      <c r="AI1122" s="105"/>
      <c r="AJ1122" s="105"/>
      <c r="AK1122" s="105"/>
      <c r="AL1122" s="105"/>
      <c r="AM1122" s="105"/>
    </row>
    <row r="1123" spans="1:39" ht="15">
      <c r="A1123" s="62" t="s">
        <v>260</v>
      </c>
      <c r="B1123" s="62" t="s">
        <v>250</v>
      </c>
      <c r="C1123" s="63" t="s">
        <v>3613</v>
      </c>
      <c r="D1123" s="64">
        <v>8.68421052631579</v>
      </c>
      <c r="E1123" s="65" t="s">
        <v>136</v>
      </c>
      <c r="F1123" s="66">
        <v>25.132075471698112</v>
      </c>
      <c r="G1123" s="63"/>
      <c r="H1123" s="67"/>
      <c r="I1123" s="68"/>
      <c r="J1123" s="68"/>
      <c r="K1123" s="31" t="s">
        <v>65</v>
      </c>
      <c r="L1123" s="76">
        <v>1123</v>
      </c>
      <c r="M1123" s="76"/>
      <c r="N1123" s="70"/>
      <c r="O1123" s="78" t="s">
        <v>305</v>
      </c>
      <c r="P1123" s="78" t="s">
        <v>616</v>
      </c>
      <c r="Q1123" s="78" t="s">
        <v>1196</v>
      </c>
      <c r="R1123" s="78" t="s">
        <v>1611</v>
      </c>
      <c r="S1123" s="78"/>
      <c r="T1123" s="78"/>
      <c r="U1123" s="78"/>
      <c r="V1123" s="78"/>
      <c r="W1123" s="81" t="s">
        <v>1674</v>
      </c>
      <c r="X1123" s="81" t="s">
        <v>1674</v>
      </c>
      <c r="Y1123" s="78"/>
      <c r="Z1123" s="78"/>
      <c r="AA1123" s="81" t="s">
        <v>1674</v>
      </c>
      <c r="AB1123" s="79">
        <v>15</v>
      </c>
      <c r="AC1123" s="80" t="str">
        <f>REPLACE(INDEX(GroupVertices[Group],MATCH("~"&amp;Edges[[#This Row],[Vertex 1]],GroupVertices[Vertex],0)),1,1,"")</f>
        <v>1</v>
      </c>
      <c r="AD1123" s="80" t="str">
        <f>REPLACE(INDEX(GroupVertices[Group],MATCH("~"&amp;Edges[[#This Row],[Vertex 2]],GroupVertices[Vertex],0)),1,1,"")</f>
        <v>1</v>
      </c>
      <c r="AE1123" s="105"/>
      <c r="AF1123" s="105"/>
      <c r="AG1123" s="105"/>
      <c r="AH1123" s="105"/>
      <c r="AI1123" s="105"/>
      <c r="AJ1123" s="105"/>
      <c r="AK1123" s="105"/>
      <c r="AL1123" s="105"/>
      <c r="AM1123" s="105"/>
    </row>
    <row r="1124" spans="1:39" ht="15">
      <c r="A1124" s="62" t="s">
        <v>260</v>
      </c>
      <c r="B1124" s="62" t="s">
        <v>250</v>
      </c>
      <c r="C1124" s="63" t="s">
        <v>3613</v>
      </c>
      <c r="D1124" s="64">
        <v>8.68421052631579</v>
      </c>
      <c r="E1124" s="65" t="s">
        <v>136</v>
      </c>
      <c r="F1124" s="66">
        <v>25.132075471698112</v>
      </c>
      <c r="G1124" s="63"/>
      <c r="H1124" s="67"/>
      <c r="I1124" s="68"/>
      <c r="J1124" s="68"/>
      <c r="K1124" s="31" t="s">
        <v>65</v>
      </c>
      <c r="L1124" s="76">
        <v>1124</v>
      </c>
      <c r="M1124" s="76"/>
      <c r="N1124" s="70"/>
      <c r="O1124" s="78" t="s">
        <v>305</v>
      </c>
      <c r="P1124" s="78" t="s">
        <v>616</v>
      </c>
      <c r="Q1124" s="78" t="s">
        <v>1197</v>
      </c>
      <c r="R1124" s="78" t="s">
        <v>1610</v>
      </c>
      <c r="S1124" s="78"/>
      <c r="T1124" s="78"/>
      <c r="U1124" s="78"/>
      <c r="V1124" s="78"/>
      <c r="W1124" s="81" t="s">
        <v>1674</v>
      </c>
      <c r="X1124" s="81" t="s">
        <v>1674</v>
      </c>
      <c r="Y1124" s="78"/>
      <c r="Z1124" s="78"/>
      <c r="AA1124" s="81" t="s">
        <v>1674</v>
      </c>
      <c r="AB1124" s="79">
        <v>15</v>
      </c>
      <c r="AC1124" s="80" t="str">
        <f>REPLACE(INDEX(GroupVertices[Group],MATCH("~"&amp;Edges[[#This Row],[Vertex 1]],GroupVertices[Vertex],0)),1,1,"")</f>
        <v>1</v>
      </c>
      <c r="AD1124" s="80" t="str">
        <f>REPLACE(INDEX(GroupVertices[Group],MATCH("~"&amp;Edges[[#This Row],[Vertex 2]],GroupVertices[Vertex],0)),1,1,"")</f>
        <v>1</v>
      </c>
      <c r="AE1124" s="105"/>
      <c r="AF1124" s="105"/>
      <c r="AG1124" s="105"/>
      <c r="AH1124" s="105"/>
      <c r="AI1124" s="105"/>
      <c r="AJ1124" s="105"/>
      <c r="AK1124" s="105"/>
      <c r="AL1124" s="105"/>
      <c r="AM1124" s="105"/>
    </row>
    <row r="1125" spans="1:39" ht="15">
      <c r="A1125" s="62" t="s">
        <v>260</v>
      </c>
      <c r="B1125" s="62" t="s">
        <v>250</v>
      </c>
      <c r="C1125" s="63" t="s">
        <v>3613</v>
      </c>
      <c r="D1125" s="64">
        <v>8.68421052631579</v>
      </c>
      <c r="E1125" s="65" t="s">
        <v>136</v>
      </c>
      <c r="F1125" s="66">
        <v>25.132075471698112</v>
      </c>
      <c r="G1125" s="63"/>
      <c r="H1125" s="67"/>
      <c r="I1125" s="68"/>
      <c r="J1125" s="68"/>
      <c r="K1125" s="31" t="s">
        <v>65</v>
      </c>
      <c r="L1125" s="76">
        <v>1125</v>
      </c>
      <c r="M1125" s="76"/>
      <c r="N1125" s="70"/>
      <c r="O1125" s="78" t="s">
        <v>305</v>
      </c>
      <c r="P1125" s="78" t="s">
        <v>616</v>
      </c>
      <c r="Q1125" s="78" t="s">
        <v>1197</v>
      </c>
      <c r="R1125" s="78" t="s">
        <v>1611</v>
      </c>
      <c r="S1125" s="78"/>
      <c r="T1125" s="78"/>
      <c r="U1125" s="78"/>
      <c r="V1125" s="78"/>
      <c r="W1125" s="81" t="s">
        <v>1674</v>
      </c>
      <c r="X1125" s="81" t="s">
        <v>1674</v>
      </c>
      <c r="Y1125" s="78"/>
      <c r="Z1125" s="78"/>
      <c r="AA1125" s="81" t="s">
        <v>1674</v>
      </c>
      <c r="AB1125" s="79">
        <v>15</v>
      </c>
      <c r="AC1125" s="80" t="str">
        <f>REPLACE(INDEX(GroupVertices[Group],MATCH("~"&amp;Edges[[#This Row],[Vertex 1]],GroupVertices[Vertex],0)),1,1,"")</f>
        <v>1</v>
      </c>
      <c r="AD1125" s="80" t="str">
        <f>REPLACE(INDEX(GroupVertices[Group],MATCH("~"&amp;Edges[[#This Row],[Vertex 2]],GroupVertices[Vertex],0)),1,1,"")</f>
        <v>1</v>
      </c>
      <c r="AE1125" s="105"/>
      <c r="AF1125" s="105"/>
      <c r="AG1125" s="105"/>
      <c r="AH1125" s="105"/>
      <c r="AI1125" s="105"/>
      <c r="AJ1125" s="105"/>
      <c r="AK1125" s="105"/>
      <c r="AL1125" s="105"/>
      <c r="AM1125" s="105"/>
    </row>
    <row r="1126" spans="1:39" ht="15">
      <c r="A1126" s="62" t="s">
        <v>260</v>
      </c>
      <c r="B1126" s="62" t="s">
        <v>250</v>
      </c>
      <c r="C1126" s="63" t="s">
        <v>3613</v>
      </c>
      <c r="D1126" s="64">
        <v>8.68421052631579</v>
      </c>
      <c r="E1126" s="65" t="s">
        <v>136</v>
      </c>
      <c r="F1126" s="66">
        <v>25.132075471698112</v>
      </c>
      <c r="G1126" s="63"/>
      <c r="H1126" s="67"/>
      <c r="I1126" s="68"/>
      <c r="J1126" s="68"/>
      <c r="K1126" s="31" t="s">
        <v>65</v>
      </c>
      <c r="L1126" s="76">
        <v>1126</v>
      </c>
      <c r="M1126" s="76"/>
      <c r="N1126" s="70"/>
      <c r="O1126" s="78" t="s">
        <v>305</v>
      </c>
      <c r="P1126" s="78" t="s">
        <v>562</v>
      </c>
      <c r="Q1126" s="78" t="s">
        <v>1198</v>
      </c>
      <c r="R1126" s="78" t="s">
        <v>1547</v>
      </c>
      <c r="S1126" s="78"/>
      <c r="T1126" s="78"/>
      <c r="U1126" s="78"/>
      <c r="V1126" s="78"/>
      <c r="W1126" s="81" t="s">
        <v>1674</v>
      </c>
      <c r="X1126" s="81" t="s">
        <v>1674</v>
      </c>
      <c r="Y1126" s="78"/>
      <c r="Z1126" s="78"/>
      <c r="AA1126" s="81" t="s">
        <v>1674</v>
      </c>
      <c r="AB1126" s="79">
        <v>15</v>
      </c>
      <c r="AC1126" s="80" t="str">
        <f>REPLACE(INDEX(GroupVertices[Group],MATCH("~"&amp;Edges[[#This Row],[Vertex 1]],GroupVertices[Vertex],0)),1,1,"")</f>
        <v>1</v>
      </c>
      <c r="AD1126" s="80" t="str">
        <f>REPLACE(INDEX(GroupVertices[Group],MATCH("~"&amp;Edges[[#This Row],[Vertex 2]],GroupVertices[Vertex],0)),1,1,"")</f>
        <v>1</v>
      </c>
      <c r="AE1126" s="105"/>
      <c r="AF1126" s="105"/>
      <c r="AG1126" s="105"/>
      <c r="AH1126" s="105"/>
      <c r="AI1126" s="105"/>
      <c r="AJ1126" s="105"/>
      <c r="AK1126" s="105"/>
      <c r="AL1126" s="105"/>
      <c r="AM1126" s="105"/>
    </row>
    <row r="1127" spans="1:39" ht="15">
      <c r="A1127" s="62" t="s">
        <v>260</v>
      </c>
      <c r="B1127" s="62" t="s">
        <v>251</v>
      </c>
      <c r="C1127" s="63" t="s">
        <v>3598</v>
      </c>
      <c r="D1127" s="64">
        <v>5</v>
      </c>
      <c r="E1127" s="65" t="s">
        <v>132</v>
      </c>
      <c r="F1127" s="66">
        <v>32</v>
      </c>
      <c r="G1127" s="63"/>
      <c r="H1127" s="67"/>
      <c r="I1127" s="68"/>
      <c r="J1127" s="68"/>
      <c r="K1127" s="31" t="s">
        <v>65</v>
      </c>
      <c r="L1127" s="76">
        <v>1127</v>
      </c>
      <c r="M1127" s="76"/>
      <c r="N1127" s="70"/>
      <c r="O1127" s="78" t="s">
        <v>305</v>
      </c>
      <c r="P1127" s="78" t="s">
        <v>594</v>
      </c>
      <c r="Q1127" s="78" t="s">
        <v>1166</v>
      </c>
      <c r="R1127" s="78" t="s">
        <v>1583</v>
      </c>
      <c r="S1127" s="78"/>
      <c r="T1127" s="78"/>
      <c r="U1127" s="78"/>
      <c r="V1127" s="78"/>
      <c r="W1127" s="81" t="s">
        <v>1674</v>
      </c>
      <c r="X1127" s="81" t="s">
        <v>1674</v>
      </c>
      <c r="Y1127" s="78"/>
      <c r="Z1127" s="78"/>
      <c r="AA1127" s="81" t="s">
        <v>1674</v>
      </c>
      <c r="AB1127" s="79">
        <v>1</v>
      </c>
      <c r="AC1127" s="80" t="str">
        <f>REPLACE(INDEX(GroupVertices[Group],MATCH("~"&amp;Edges[[#This Row],[Vertex 1]],GroupVertices[Vertex],0)),1,1,"")</f>
        <v>1</v>
      </c>
      <c r="AD1127" s="80" t="str">
        <f>REPLACE(INDEX(GroupVertices[Group],MATCH("~"&amp;Edges[[#This Row],[Vertex 2]],GroupVertices[Vertex],0)),1,1,"")</f>
        <v>3</v>
      </c>
      <c r="AE1127" s="105"/>
      <c r="AF1127" s="105"/>
      <c r="AG1127" s="105"/>
      <c r="AH1127" s="105"/>
      <c r="AI1127" s="105"/>
      <c r="AJ1127" s="105"/>
      <c r="AK1127" s="105"/>
      <c r="AL1127" s="105"/>
      <c r="AM1127" s="105"/>
    </row>
    <row r="1128" spans="1:39" ht="15">
      <c r="A1128" s="62" t="s">
        <v>277</v>
      </c>
      <c r="B1128" s="62" t="s">
        <v>260</v>
      </c>
      <c r="C1128" s="63" t="s">
        <v>3598</v>
      </c>
      <c r="D1128" s="64">
        <v>5</v>
      </c>
      <c r="E1128" s="65" t="s">
        <v>132</v>
      </c>
      <c r="F1128" s="66">
        <v>32</v>
      </c>
      <c r="G1128" s="63"/>
      <c r="H1128" s="67"/>
      <c r="I1128" s="68"/>
      <c r="J1128" s="68"/>
      <c r="K1128" s="31" t="s">
        <v>65</v>
      </c>
      <c r="L1128" s="76">
        <v>1128</v>
      </c>
      <c r="M1128" s="76"/>
      <c r="N1128" s="70"/>
      <c r="O1128" s="78" t="s">
        <v>305</v>
      </c>
      <c r="P1128" s="78" t="s">
        <v>501</v>
      </c>
      <c r="Q1128" s="78" t="s">
        <v>1002</v>
      </c>
      <c r="R1128" s="78" t="s">
        <v>995</v>
      </c>
      <c r="S1128" s="78"/>
      <c r="T1128" s="78"/>
      <c r="U1128" s="78"/>
      <c r="V1128" s="78"/>
      <c r="W1128" s="81" t="s">
        <v>1674</v>
      </c>
      <c r="X1128" s="81" t="s">
        <v>1674</v>
      </c>
      <c r="Y1128" s="78"/>
      <c r="Z1128" s="78"/>
      <c r="AA1128" s="81" t="s">
        <v>1674</v>
      </c>
      <c r="AB1128" s="79">
        <v>1</v>
      </c>
      <c r="AC1128" s="80" t="str">
        <f>REPLACE(INDEX(GroupVertices[Group],MATCH("~"&amp;Edges[[#This Row],[Vertex 1]],GroupVertices[Vertex],0)),1,1,"")</f>
        <v>1</v>
      </c>
      <c r="AD1128" s="80" t="str">
        <f>REPLACE(INDEX(GroupVertices[Group],MATCH("~"&amp;Edges[[#This Row],[Vertex 2]],GroupVertices[Vertex],0)),1,1,"")</f>
        <v>1</v>
      </c>
      <c r="AE1128" s="105"/>
      <c r="AF1128" s="105"/>
      <c r="AG1128" s="105"/>
      <c r="AH1128" s="105"/>
      <c r="AI1128" s="105"/>
      <c r="AJ1128" s="105"/>
      <c r="AK1128" s="105"/>
      <c r="AL1128" s="105"/>
      <c r="AM1128" s="105"/>
    </row>
    <row r="1129" spans="1:39" ht="15">
      <c r="A1129" s="62" t="s">
        <v>280</v>
      </c>
      <c r="B1129" s="62" t="s">
        <v>260</v>
      </c>
      <c r="C1129" s="63" t="s">
        <v>3598</v>
      </c>
      <c r="D1129" s="64">
        <v>5.2631578947368425</v>
      </c>
      <c r="E1129" s="65" t="s">
        <v>136</v>
      </c>
      <c r="F1129" s="66">
        <v>31.50943396226415</v>
      </c>
      <c r="G1129" s="63"/>
      <c r="H1129" s="67"/>
      <c r="I1129" s="68"/>
      <c r="J1129" s="68"/>
      <c r="K1129" s="31" t="s">
        <v>65</v>
      </c>
      <c r="L1129" s="76">
        <v>1129</v>
      </c>
      <c r="M1129" s="76"/>
      <c r="N1129" s="70"/>
      <c r="O1129" s="78" t="s">
        <v>305</v>
      </c>
      <c r="P1129" s="78" t="s">
        <v>467</v>
      </c>
      <c r="Q1129" s="78" t="s">
        <v>939</v>
      </c>
      <c r="R1129" s="78" t="s">
        <v>938</v>
      </c>
      <c r="S1129" s="78"/>
      <c r="T1129" s="78"/>
      <c r="U1129" s="78"/>
      <c r="V1129" s="78"/>
      <c r="W1129" s="81" t="s">
        <v>1674</v>
      </c>
      <c r="X1129" s="81" t="s">
        <v>1674</v>
      </c>
      <c r="Y1129" s="78"/>
      <c r="Z1129" s="78"/>
      <c r="AA1129" s="81" t="s">
        <v>1674</v>
      </c>
      <c r="AB1129" s="79">
        <v>2</v>
      </c>
      <c r="AC1129" s="80" t="str">
        <f>REPLACE(INDEX(GroupVertices[Group],MATCH("~"&amp;Edges[[#This Row],[Vertex 1]],GroupVertices[Vertex],0)),1,1,"")</f>
        <v>3</v>
      </c>
      <c r="AD1129" s="80" t="str">
        <f>REPLACE(INDEX(GroupVertices[Group],MATCH("~"&amp;Edges[[#This Row],[Vertex 2]],GroupVertices[Vertex],0)),1,1,"")</f>
        <v>1</v>
      </c>
      <c r="AE1129" s="105"/>
      <c r="AF1129" s="105"/>
      <c r="AG1129" s="105"/>
      <c r="AH1129" s="105"/>
      <c r="AI1129" s="105"/>
      <c r="AJ1129" s="105"/>
      <c r="AK1129" s="105"/>
      <c r="AL1129" s="105"/>
      <c r="AM1129" s="105"/>
    </row>
    <row r="1130" spans="1:39" ht="15">
      <c r="A1130" s="62" t="s">
        <v>280</v>
      </c>
      <c r="B1130" s="62" t="s">
        <v>260</v>
      </c>
      <c r="C1130" s="63" t="s">
        <v>3598</v>
      </c>
      <c r="D1130" s="64">
        <v>5.2631578947368425</v>
      </c>
      <c r="E1130" s="65" t="s">
        <v>136</v>
      </c>
      <c r="F1130" s="66">
        <v>31.50943396226415</v>
      </c>
      <c r="G1130" s="63"/>
      <c r="H1130" s="67"/>
      <c r="I1130" s="68"/>
      <c r="J1130" s="68"/>
      <c r="K1130" s="31" t="s">
        <v>65</v>
      </c>
      <c r="L1130" s="76">
        <v>1130</v>
      </c>
      <c r="M1130" s="76"/>
      <c r="N1130" s="70"/>
      <c r="O1130" s="78" t="s">
        <v>305</v>
      </c>
      <c r="P1130" s="78" t="s">
        <v>617</v>
      </c>
      <c r="Q1130" s="78" t="s">
        <v>1199</v>
      </c>
      <c r="R1130" s="78" t="s">
        <v>1612</v>
      </c>
      <c r="S1130" s="78"/>
      <c r="T1130" s="78"/>
      <c r="U1130" s="78"/>
      <c r="V1130" s="78"/>
      <c r="W1130" s="81" t="s">
        <v>1674</v>
      </c>
      <c r="X1130" s="81" t="s">
        <v>1674</v>
      </c>
      <c r="Y1130" s="78"/>
      <c r="Z1130" s="78"/>
      <c r="AA1130" s="81" t="s">
        <v>1674</v>
      </c>
      <c r="AB1130" s="79">
        <v>2</v>
      </c>
      <c r="AC1130" s="80" t="str">
        <f>REPLACE(INDEX(GroupVertices[Group],MATCH("~"&amp;Edges[[#This Row],[Vertex 1]],GroupVertices[Vertex],0)),1,1,"")</f>
        <v>3</v>
      </c>
      <c r="AD1130" s="80" t="str">
        <f>REPLACE(INDEX(GroupVertices[Group],MATCH("~"&amp;Edges[[#This Row],[Vertex 2]],GroupVertices[Vertex],0)),1,1,"")</f>
        <v>1</v>
      </c>
      <c r="AE1130" s="105"/>
      <c r="AF1130" s="105"/>
      <c r="AG1130" s="105"/>
      <c r="AH1130" s="105"/>
      <c r="AI1130" s="105"/>
      <c r="AJ1130" s="105"/>
      <c r="AK1130" s="105"/>
      <c r="AL1130" s="105"/>
      <c r="AM1130" s="105"/>
    </row>
    <row r="1131" spans="1:39" ht="15">
      <c r="A1131" s="62" t="s">
        <v>284</v>
      </c>
      <c r="B1131" s="62" t="s">
        <v>260</v>
      </c>
      <c r="C1131" s="63" t="s">
        <v>3598</v>
      </c>
      <c r="D1131" s="64">
        <v>5</v>
      </c>
      <c r="E1131" s="65" t="s">
        <v>132</v>
      </c>
      <c r="F1131" s="66">
        <v>32</v>
      </c>
      <c r="G1131" s="63"/>
      <c r="H1131" s="67"/>
      <c r="I1131" s="68"/>
      <c r="J1131" s="68"/>
      <c r="K1131" s="31" t="s">
        <v>65</v>
      </c>
      <c r="L1131" s="76">
        <v>1131</v>
      </c>
      <c r="M1131" s="76"/>
      <c r="N1131" s="70"/>
      <c r="O1131" s="78" t="s">
        <v>305</v>
      </c>
      <c r="P1131" s="78" t="s">
        <v>501</v>
      </c>
      <c r="Q1131" s="78" t="s">
        <v>1002</v>
      </c>
      <c r="R1131" s="78" t="s">
        <v>995</v>
      </c>
      <c r="S1131" s="78"/>
      <c r="T1131" s="78"/>
      <c r="U1131" s="78"/>
      <c r="V1131" s="78"/>
      <c r="W1131" s="81" t="s">
        <v>1674</v>
      </c>
      <c r="X1131" s="81" t="s">
        <v>1674</v>
      </c>
      <c r="Y1131" s="78"/>
      <c r="Z1131" s="78"/>
      <c r="AA1131" s="81" t="s">
        <v>1674</v>
      </c>
      <c r="AB1131" s="79">
        <v>1</v>
      </c>
      <c r="AC1131" s="80" t="str">
        <f>REPLACE(INDEX(GroupVertices[Group],MATCH("~"&amp;Edges[[#This Row],[Vertex 1]],GroupVertices[Vertex],0)),1,1,"")</f>
        <v>1</v>
      </c>
      <c r="AD1131" s="80" t="str">
        <f>REPLACE(INDEX(GroupVertices[Group],MATCH("~"&amp;Edges[[#This Row],[Vertex 2]],GroupVertices[Vertex],0)),1,1,"")</f>
        <v>1</v>
      </c>
      <c r="AE1131" s="105"/>
      <c r="AF1131" s="105"/>
      <c r="AG1131" s="105"/>
      <c r="AH1131" s="105"/>
      <c r="AI1131" s="105"/>
      <c r="AJ1131" s="105"/>
      <c r="AK1131" s="105"/>
      <c r="AL1131" s="105"/>
      <c r="AM1131" s="105"/>
    </row>
    <row r="1132" spans="1:39" ht="15">
      <c r="A1132" s="62" t="s">
        <v>288</v>
      </c>
      <c r="B1132" s="62" t="s">
        <v>260</v>
      </c>
      <c r="C1132" s="63" t="s">
        <v>3598</v>
      </c>
      <c r="D1132" s="64">
        <v>5</v>
      </c>
      <c r="E1132" s="65" t="s">
        <v>132</v>
      </c>
      <c r="F1132" s="66">
        <v>32</v>
      </c>
      <c r="G1132" s="63"/>
      <c r="H1132" s="67"/>
      <c r="I1132" s="68"/>
      <c r="J1132" s="68"/>
      <c r="K1132" s="31" t="s">
        <v>65</v>
      </c>
      <c r="L1132" s="76">
        <v>1132</v>
      </c>
      <c r="M1132" s="76"/>
      <c r="N1132" s="70"/>
      <c r="O1132" s="78" t="s">
        <v>305</v>
      </c>
      <c r="P1132" s="78" t="s">
        <v>618</v>
      </c>
      <c r="Q1132" s="78" t="s">
        <v>1200</v>
      </c>
      <c r="R1132" s="78" t="s">
        <v>1613</v>
      </c>
      <c r="S1132" s="78"/>
      <c r="T1132" s="78"/>
      <c r="U1132" s="78"/>
      <c r="V1132" s="78"/>
      <c r="W1132" s="81" t="s">
        <v>1674</v>
      </c>
      <c r="X1132" s="81" t="s">
        <v>1674</v>
      </c>
      <c r="Y1132" s="78"/>
      <c r="Z1132" s="78"/>
      <c r="AA1132" s="81" t="s">
        <v>1674</v>
      </c>
      <c r="AB1132" s="79">
        <v>1</v>
      </c>
      <c r="AC1132" s="80" t="str">
        <f>REPLACE(INDEX(GroupVertices[Group],MATCH("~"&amp;Edges[[#This Row],[Vertex 1]],GroupVertices[Vertex],0)),1,1,"")</f>
        <v>3</v>
      </c>
      <c r="AD1132" s="80" t="str">
        <f>REPLACE(INDEX(GroupVertices[Group],MATCH("~"&amp;Edges[[#This Row],[Vertex 2]],GroupVertices[Vertex],0)),1,1,"")</f>
        <v>1</v>
      </c>
      <c r="AE1132" s="105"/>
      <c r="AF1132" s="105"/>
      <c r="AG1132" s="105"/>
      <c r="AH1132" s="105"/>
      <c r="AI1132" s="105"/>
      <c r="AJ1132" s="105"/>
      <c r="AK1132" s="105"/>
      <c r="AL1132" s="105"/>
      <c r="AM1132" s="105"/>
    </row>
    <row r="1133" spans="1:39" ht="15">
      <c r="A1133" s="62" t="s">
        <v>288</v>
      </c>
      <c r="B1133" s="62" t="s">
        <v>280</v>
      </c>
      <c r="C1133" s="63" t="s">
        <v>3599</v>
      </c>
      <c r="D1133" s="64">
        <v>6.052631578947368</v>
      </c>
      <c r="E1133" s="65" t="s">
        <v>136</v>
      </c>
      <c r="F1133" s="66">
        <v>30.037735849056602</v>
      </c>
      <c r="G1133" s="63"/>
      <c r="H1133" s="67"/>
      <c r="I1133" s="68"/>
      <c r="J1133" s="68"/>
      <c r="K1133" s="31" t="s">
        <v>65</v>
      </c>
      <c r="L1133" s="76">
        <v>1133</v>
      </c>
      <c r="M1133" s="76"/>
      <c r="N1133" s="70"/>
      <c r="O1133" s="78" t="s">
        <v>305</v>
      </c>
      <c r="P1133" s="78" t="s">
        <v>619</v>
      </c>
      <c r="Q1133" s="78" t="s">
        <v>1201</v>
      </c>
      <c r="R1133" s="78" t="s">
        <v>1614</v>
      </c>
      <c r="S1133" s="78"/>
      <c r="T1133" s="78"/>
      <c r="U1133" s="78"/>
      <c r="V1133" s="78"/>
      <c r="W1133" s="81" t="s">
        <v>1674</v>
      </c>
      <c r="X1133" s="81" t="s">
        <v>1674</v>
      </c>
      <c r="Y1133" s="78"/>
      <c r="Z1133" s="78"/>
      <c r="AA1133" s="81" t="s">
        <v>1674</v>
      </c>
      <c r="AB1133" s="79">
        <v>5</v>
      </c>
      <c r="AC1133" s="80" t="str">
        <f>REPLACE(INDEX(GroupVertices[Group],MATCH("~"&amp;Edges[[#This Row],[Vertex 1]],GroupVertices[Vertex],0)),1,1,"")</f>
        <v>3</v>
      </c>
      <c r="AD1133" s="80" t="str">
        <f>REPLACE(INDEX(GroupVertices[Group],MATCH("~"&amp;Edges[[#This Row],[Vertex 2]],GroupVertices[Vertex],0)),1,1,"")</f>
        <v>3</v>
      </c>
      <c r="AE1133" s="105"/>
      <c r="AF1133" s="105"/>
      <c r="AG1133" s="105"/>
      <c r="AH1133" s="105"/>
      <c r="AI1133" s="105"/>
      <c r="AJ1133" s="105"/>
      <c r="AK1133" s="105"/>
      <c r="AL1133" s="105"/>
      <c r="AM1133" s="105"/>
    </row>
    <row r="1134" spans="1:39" ht="15">
      <c r="A1134" s="62" t="s">
        <v>288</v>
      </c>
      <c r="B1134" s="62" t="s">
        <v>280</v>
      </c>
      <c r="C1134" s="63" t="s">
        <v>3599</v>
      </c>
      <c r="D1134" s="64">
        <v>6.052631578947368</v>
      </c>
      <c r="E1134" s="65" t="s">
        <v>136</v>
      </c>
      <c r="F1134" s="66">
        <v>30.037735849056602</v>
      </c>
      <c r="G1134" s="63"/>
      <c r="H1134" s="67"/>
      <c r="I1134" s="68"/>
      <c r="J1134" s="68"/>
      <c r="K1134" s="31" t="s">
        <v>65</v>
      </c>
      <c r="L1134" s="76">
        <v>1134</v>
      </c>
      <c r="M1134" s="76"/>
      <c r="N1134" s="70"/>
      <c r="O1134" s="78" t="s">
        <v>305</v>
      </c>
      <c r="P1134" s="78" t="s">
        <v>619</v>
      </c>
      <c r="Q1134" s="78" t="s">
        <v>1202</v>
      </c>
      <c r="R1134" s="78" t="s">
        <v>1614</v>
      </c>
      <c r="S1134" s="78"/>
      <c r="T1134" s="78"/>
      <c r="U1134" s="78"/>
      <c r="V1134" s="78"/>
      <c r="W1134" s="81" t="s">
        <v>1674</v>
      </c>
      <c r="X1134" s="81" t="s">
        <v>1674</v>
      </c>
      <c r="Y1134" s="78"/>
      <c r="Z1134" s="78"/>
      <c r="AA1134" s="81" t="s">
        <v>1674</v>
      </c>
      <c r="AB1134" s="79">
        <v>5</v>
      </c>
      <c r="AC1134" s="80" t="str">
        <f>REPLACE(INDEX(GroupVertices[Group],MATCH("~"&amp;Edges[[#This Row],[Vertex 1]],GroupVertices[Vertex],0)),1,1,"")</f>
        <v>3</v>
      </c>
      <c r="AD1134" s="80" t="str">
        <f>REPLACE(INDEX(GroupVertices[Group],MATCH("~"&amp;Edges[[#This Row],[Vertex 2]],GroupVertices[Vertex],0)),1,1,"")</f>
        <v>3</v>
      </c>
      <c r="AE1134" s="105"/>
      <c r="AF1134" s="105"/>
      <c r="AG1134" s="105"/>
      <c r="AH1134" s="105"/>
      <c r="AI1134" s="105"/>
      <c r="AJ1134" s="105"/>
      <c r="AK1134" s="105"/>
      <c r="AL1134" s="105"/>
      <c r="AM1134" s="105"/>
    </row>
    <row r="1135" spans="1:39" ht="15">
      <c r="A1135" s="62" t="s">
        <v>288</v>
      </c>
      <c r="B1135" s="62" t="s">
        <v>280</v>
      </c>
      <c r="C1135" s="63" t="s">
        <v>3599</v>
      </c>
      <c r="D1135" s="64">
        <v>6.052631578947368</v>
      </c>
      <c r="E1135" s="65" t="s">
        <v>136</v>
      </c>
      <c r="F1135" s="66">
        <v>30.037735849056602</v>
      </c>
      <c r="G1135" s="63"/>
      <c r="H1135" s="67"/>
      <c r="I1135" s="68"/>
      <c r="J1135" s="68"/>
      <c r="K1135" s="31" t="s">
        <v>65</v>
      </c>
      <c r="L1135" s="76">
        <v>1135</v>
      </c>
      <c r="M1135" s="76"/>
      <c r="N1135" s="70"/>
      <c r="O1135" s="78" t="s">
        <v>305</v>
      </c>
      <c r="P1135" s="78" t="s">
        <v>620</v>
      </c>
      <c r="Q1135" s="78" t="s">
        <v>1203</v>
      </c>
      <c r="R1135" s="78" t="s">
        <v>1615</v>
      </c>
      <c r="S1135" s="78"/>
      <c r="T1135" s="78"/>
      <c r="U1135" s="78"/>
      <c r="V1135" s="78"/>
      <c r="W1135" s="81" t="s">
        <v>1674</v>
      </c>
      <c r="X1135" s="81" t="s">
        <v>1674</v>
      </c>
      <c r="Y1135" s="78"/>
      <c r="Z1135" s="78"/>
      <c r="AA1135" s="81" t="s">
        <v>1674</v>
      </c>
      <c r="AB1135" s="79">
        <v>5</v>
      </c>
      <c r="AC1135" s="80" t="str">
        <f>REPLACE(INDEX(GroupVertices[Group],MATCH("~"&amp;Edges[[#This Row],[Vertex 1]],GroupVertices[Vertex],0)),1,1,"")</f>
        <v>3</v>
      </c>
      <c r="AD1135" s="80" t="str">
        <f>REPLACE(INDEX(GroupVertices[Group],MATCH("~"&amp;Edges[[#This Row],[Vertex 2]],GroupVertices[Vertex],0)),1,1,"")</f>
        <v>3</v>
      </c>
      <c r="AE1135" s="105"/>
      <c r="AF1135" s="105"/>
      <c r="AG1135" s="105"/>
      <c r="AH1135" s="105"/>
      <c r="AI1135" s="105"/>
      <c r="AJ1135" s="105"/>
      <c r="AK1135" s="105"/>
      <c r="AL1135" s="105"/>
      <c r="AM1135" s="105"/>
    </row>
    <row r="1136" spans="1:39" ht="15">
      <c r="A1136" s="62" t="s">
        <v>288</v>
      </c>
      <c r="B1136" s="62" t="s">
        <v>280</v>
      </c>
      <c r="C1136" s="63" t="s">
        <v>3599</v>
      </c>
      <c r="D1136" s="64">
        <v>6.052631578947368</v>
      </c>
      <c r="E1136" s="65" t="s">
        <v>136</v>
      </c>
      <c r="F1136" s="66">
        <v>30.037735849056602</v>
      </c>
      <c r="G1136" s="63"/>
      <c r="H1136" s="67"/>
      <c r="I1136" s="68"/>
      <c r="J1136" s="68"/>
      <c r="K1136" s="31" t="s">
        <v>65</v>
      </c>
      <c r="L1136" s="76">
        <v>1136</v>
      </c>
      <c r="M1136" s="76"/>
      <c r="N1136" s="70"/>
      <c r="O1136" s="78" t="s">
        <v>305</v>
      </c>
      <c r="P1136" s="78" t="s">
        <v>621</v>
      </c>
      <c r="Q1136" s="78" t="s">
        <v>1204</v>
      </c>
      <c r="R1136" s="78" t="s">
        <v>1616</v>
      </c>
      <c r="S1136" s="78" t="s">
        <v>1657</v>
      </c>
      <c r="T1136" s="78"/>
      <c r="U1136" s="78" t="s">
        <v>1671</v>
      </c>
      <c r="V1136" s="78"/>
      <c r="W1136" s="81" t="s">
        <v>1674</v>
      </c>
      <c r="X1136" s="81" t="s">
        <v>1674</v>
      </c>
      <c r="Y1136" s="78" t="s">
        <v>1701</v>
      </c>
      <c r="Z1136" s="78" t="s">
        <v>1712</v>
      </c>
      <c r="AA1136" s="81" t="s">
        <v>1674</v>
      </c>
      <c r="AB1136" s="79">
        <v>5</v>
      </c>
      <c r="AC1136" s="80" t="str">
        <f>REPLACE(INDEX(GroupVertices[Group],MATCH("~"&amp;Edges[[#This Row],[Vertex 1]],GroupVertices[Vertex],0)),1,1,"")</f>
        <v>3</v>
      </c>
      <c r="AD1136" s="80" t="str">
        <f>REPLACE(INDEX(GroupVertices[Group],MATCH("~"&amp;Edges[[#This Row],[Vertex 2]],GroupVertices[Vertex],0)),1,1,"")</f>
        <v>3</v>
      </c>
      <c r="AE1136" s="105"/>
      <c r="AF1136" s="105"/>
      <c r="AG1136" s="105"/>
      <c r="AH1136" s="105"/>
      <c r="AI1136" s="105"/>
      <c r="AJ1136" s="105"/>
      <c r="AK1136" s="105"/>
      <c r="AL1136" s="105"/>
      <c r="AM1136" s="105"/>
    </row>
    <row r="1137" spans="1:39" ht="15">
      <c r="A1137" s="62" t="s">
        <v>288</v>
      </c>
      <c r="B1137" s="62" t="s">
        <v>280</v>
      </c>
      <c r="C1137" s="63" t="s">
        <v>3599</v>
      </c>
      <c r="D1137" s="64">
        <v>6.052631578947368</v>
      </c>
      <c r="E1137" s="65" t="s">
        <v>136</v>
      </c>
      <c r="F1137" s="66">
        <v>30.037735849056602</v>
      </c>
      <c r="G1137" s="63"/>
      <c r="H1137" s="67"/>
      <c r="I1137" s="68"/>
      <c r="J1137" s="68"/>
      <c r="K1137" s="31" t="s">
        <v>65</v>
      </c>
      <c r="L1137" s="76">
        <v>1137</v>
      </c>
      <c r="M1137" s="76"/>
      <c r="N1137" s="70"/>
      <c r="O1137" s="78" t="s">
        <v>305</v>
      </c>
      <c r="P1137" s="78" t="s">
        <v>621</v>
      </c>
      <c r="Q1137" s="78" t="s">
        <v>1204</v>
      </c>
      <c r="R1137" s="78" t="s">
        <v>1617</v>
      </c>
      <c r="S1137" s="78" t="s">
        <v>1657</v>
      </c>
      <c r="T1137" s="78" t="s">
        <v>1666</v>
      </c>
      <c r="U1137" s="78" t="s">
        <v>1671</v>
      </c>
      <c r="V1137" s="78" t="s">
        <v>1673</v>
      </c>
      <c r="W1137" s="81" t="s">
        <v>1674</v>
      </c>
      <c r="X1137" s="81" t="s">
        <v>1674</v>
      </c>
      <c r="Y1137" s="78" t="s">
        <v>1702</v>
      </c>
      <c r="Z1137" s="78" t="s">
        <v>1713</v>
      </c>
      <c r="AA1137" s="81" t="s">
        <v>1674</v>
      </c>
      <c r="AB1137" s="79">
        <v>5</v>
      </c>
      <c r="AC1137" s="80" t="str">
        <f>REPLACE(INDEX(GroupVertices[Group],MATCH("~"&amp;Edges[[#This Row],[Vertex 1]],GroupVertices[Vertex],0)),1,1,"")</f>
        <v>3</v>
      </c>
      <c r="AD1137" s="80" t="str">
        <f>REPLACE(INDEX(GroupVertices[Group],MATCH("~"&amp;Edges[[#This Row],[Vertex 2]],GroupVertices[Vertex],0)),1,1,"")</f>
        <v>3</v>
      </c>
      <c r="AE1137" s="105"/>
      <c r="AF1137" s="105"/>
      <c r="AG1137" s="105"/>
      <c r="AH1137" s="105"/>
      <c r="AI1137" s="105"/>
      <c r="AJ1137" s="105"/>
      <c r="AK1137" s="105"/>
      <c r="AL1137" s="105"/>
      <c r="AM1137" s="105"/>
    </row>
    <row r="1138" spans="1:39" ht="15">
      <c r="A1138" s="62" t="s">
        <v>288</v>
      </c>
      <c r="B1138" s="62" t="s">
        <v>286</v>
      </c>
      <c r="C1138" s="63" t="s">
        <v>3598</v>
      </c>
      <c r="D1138" s="64">
        <v>5</v>
      </c>
      <c r="E1138" s="65" t="s">
        <v>132</v>
      </c>
      <c r="F1138" s="66">
        <v>32</v>
      </c>
      <c r="G1138" s="63"/>
      <c r="H1138" s="67"/>
      <c r="I1138" s="68"/>
      <c r="J1138" s="68"/>
      <c r="K1138" s="31" t="s">
        <v>65</v>
      </c>
      <c r="L1138" s="76">
        <v>1138</v>
      </c>
      <c r="M1138" s="76"/>
      <c r="N1138" s="70"/>
      <c r="O1138" s="78" t="s">
        <v>305</v>
      </c>
      <c r="P1138" s="78" t="s">
        <v>620</v>
      </c>
      <c r="Q1138" s="78" t="s">
        <v>1203</v>
      </c>
      <c r="R1138" s="78" t="s">
        <v>1235</v>
      </c>
      <c r="S1138" s="78"/>
      <c r="T1138" s="78"/>
      <c r="U1138" s="78"/>
      <c r="V1138" s="78"/>
      <c r="W1138" s="81" t="s">
        <v>1674</v>
      </c>
      <c r="X1138" s="81" t="s">
        <v>1674</v>
      </c>
      <c r="Y1138" s="78"/>
      <c r="Z1138" s="78"/>
      <c r="AA1138" s="81" t="s">
        <v>1674</v>
      </c>
      <c r="AB1138" s="79">
        <v>1</v>
      </c>
      <c r="AC1138" s="80" t="str">
        <f>REPLACE(INDEX(GroupVertices[Group],MATCH("~"&amp;Edges[[#This Row],[Vertex 1]],GroupVertices[Vertex],0)),1,1,"")</f>
        <v>3</v>
      </c>
      <c r="AD1138" s="80" t="str">
        <f>REPLACE(INDEX(GroupVertices[Group],MATCH("~"&amp;Edges[[#This Row],[Vertex 2]],GroupVertices[Vertex],0)),1,1,"")</f>
        <v>3</v>
      </c>
      <c r="AE1138" s="105"/>
      <c r="AF1138" s="105"/>
      <c r="AG1138" s="105"/>
      <c r="AH1138" s="105"/>
      <c r="AI1138" s="105"/>
      <c r="AJ1138" s="105"/>
      <c r="AK1138" s="105"/>
      <c r="AL1138" s="105"/>
      <c r="AM1138" s="105"/>
    </row>
    <row r="1139" spans="1:39" ht="15">
      <c r="A1139" s="62" t="s">
        <v>263</v>
      </c>
      <c r="B1139" s="62" t="s">
        <v>303</v>
      </c>
      <c r="C1139" s="63" t="s">
        <v>3598</v>
      </c>
      <c r="D1139" s="64">
        <v>5.2631578947368425</v>
      </c>
      <c r="E1139" s="65" t="s">
        <v>136</v>
      </c>
      <c r="F1139" s="66">
        <v>31.50943396226415</v>
      </c>
      <c r="G1139" s="63"/>
      <c r="H1139" s="67"/>
      <c r="I1139" s="68"/>
      <c r="J1139" s="68"/>
      <c r="K1139" s="31" t="s">
        <v>65</v>
      </c>
      <c r="L1139" s="76">
        <v>1139</v>
      </c>
      <c r="M1139" s="76"/>
      <c r="N1139" s="70"/>
      <c r="O1139" s="78" t="s">
        <v>305</v>
      </c>
      <c r="P1139" s="78" t="s">
        <v>483</v>
      </c>
      <c r="Q1139" s="78" t="s">
        <v>964</v>
      </c>
      <c r="R1139" s="78" t="s">
        <v>1457</v>
      </c>
      <c r="S1139" s="78"/>
      <c r="T1139" s="78"/>
      <c r="U1139" s="78"/>
      <c r="V1139" s="78"/>
      <c r="W1139" s="81" t="s">
        <v>1674</v>
      </c>
      <c r="X1139" s="81" t="s">
        <v>1674</v>
      </c>
      <c r="Y1139" s="78"/>
      <c r="Z1139" s="78"/>
      <c r="AA1139" s="81" t="s">
        <v>1674</v>
      </c>
      <c r="AB1139" s="79">
        <v>2</v>
      </c>
      <c r="AC1139" s="80" t="str">
        <f>REPLACE(INDEX(GroupVertices[Group],MATCH("~"&amp;Edges[[#This Row],[Vertex 1]],GroupVertices[Vertex],0)),1,1,"")</f>
        <v>3</v>
      </c>
      <c r="AD1139" s="80" t="str">
        <f>REPLACE(INDEX(GroupVertices[Group],MATCH("~"&amp;Edges[[#This Row],[Vertex 2]],GroupVertices[Vertex],0)),1,1,"")</f>
        <v>3</v>
      </c>
      <c r="AE1139" s="105"/>
      <c r="AF1139" s="105"/>
      <c r="AG1139" s="105"/>
      <c r="AH1139" s="105"/>
      <c r="AI1139" s="105"/>
      <c r="AJ1139" s="105"/>
      <c r="AK1139" s="105"/>
      <c r="AL1139" s="105"/>
      <c r="AM1139" s="105"/>
    </row>
    <row r="1140" spans="1:39" ht="15">
      <c r="A1140" s="62" t="s">
        <v>263</v>
      </c>
      <c r="B1140" s="62" t="s">
        <v>303</v>
      </c>
      <c r="C1140" s="63" t="s">
        <v>3598</v>
      </c>
      <c r="D1140" s="64">
        <v>5.2631578947368425</v>
      </c>
      <c r="E1140" s="65" t="s">
        <v>136</v>
      </c>
      <c r="F1140" s="66">
        <v>31.50943396226415</v>
      </c>
      <c r="G1140" s="63"/>
      <c r="H1140" s="67"/>
      <c r="I1140" s="68"/>
      <c r="J1140" s="68"/>
      <c r="K1140" s="31" t="s">
        <v>65</v>
      </c>
      <c r="L1140" s="76">
        <v>1140</v>
      </c>
      <c r="M1140" s="76"/>
      <c r="N1140" s="70"/>
      <c r="O1140" s="78" t="s">
        <v>305</v>
      </c>
      <c r="P1140" s="78" t="s">
        <v>483</v>
      </c>
      <c r="Q1140" s="78" t="s">
        <v>965</v>
      </c>
      <c r="R1140" s="78" t="s">
        <v>1457</v>
      </c>
      <c r="S1140" s="78"/>
      <c r="T1140" s="78"/>
      <c r="U1140" s="78"/>
      <c r="V1140" s="78"/>
      <c r="W1140" s="81" t="s">
        <v>1674</v>
      </c>
      <c r="X1140" s="81" t="s">
        <v>1674</v>
      </c>
      <c r="Y1140" s="78"/>
      <c r="Z1140" s="78"/>
      <c r="AA1140" s="81" t="s">
        <v>1674</v>
      </c>
      <c r="AB1140" s="79">
        <v>2</v>
      </c>
      <c r="AC1140" s="80" t="str">
        <f>REPLACE(INDEX(GroupVertices[Group],MATCH("~"&amp;Edges[[#This Row],[Vertex 1]],GroupVertices[Vertex],0)),1,1,"")</f>
        <v>3</v>
      </c>
      <c r="AD1140" s="80" t="str">
        <f>REPLACE(INDEX(GroupVertices[Group],MATCH("~"&amp;Edges[[#This Row],[Vertex 2]],GroupVertices[Vertex],0)),1,1,"")</f>
        <v>3</v>
      </c>
      <c r="AE1140" s="105"/>
      <c r="AF1140" s="105"/>
      <c r="AG1140" s="105"/>
      <c r="AH1140" s="105"/>
      <c r="AI1140" s="105"/>
      <c r="AJ1140" s="105"/>
      <c r="AK1140" s="105"/>
      <c r="AL1140" s="105"/>
      <c r="AM1140" s="105"/>
    </row>
    <row r="1141" spans="1:39" ht="15">
      <c r="A1141" s="62" t="s">
        <v>277</v>
      </c>
      <c r="B1141" s="62" t="s">
        <v>303</v>
      </c>
      <c r="C1141" s="63" t="s">
        <v>3598</v>
      </c>
      <c r="D1141" s="64">
        <v>5</v>
      </c>
      <c r="E1141" s="65" t="s">
        <v>132</v>
      </c>
      <c r="F1141" s="66">
        <v>32</v>
      </c>
      <c r="G1141" s="63"/>
      <c r="H1141" s="67"/>
      <c r="I1141" s="68"/>
      <c r="J1141" s="68"/>
      <c r="K1141" s="31" t="s">
        <v>65</v>
      </c>
      <c r="L1141" s="76">
        <v>1141</v>
      </c>
      <c r="M1141" s="76"/>
      <c r="N1141" s="70"/>
      <c r="O1141" s="78" t="s">
        <v>305</v>
      </c>
      <c r="P1141" s="78" t="s">
        <v>483</v>
      </c>
      <c r="Q1141" s="78" t="s">
        <v>967</v>
      </c>
      <c r="R1141" s="78" t="s">
        <v>1457</v>
      </c>
      <c r="S1141" s="78"/>
      <c r="T1141" s="78"/>
      <c r="U1141" s="78"/>
      <c r="V1141" s="78"/>
      <c r="W1141" s="81" t="s">
        <v>1674</v>
      </c>
      <c r="X1141" s="81" t="s">
        <v>1674</v>
      </c>
      <c r="Y1141" s="78"/>
      <c r="Z1141" s="78"/>
      <c r="AA1141" s="81" t="s">
        <v>1674</v>
      </c>
      <c r="AB1141" s="79">
        <v>1</v>
      </c>
      <c r="AC1141" s="80" t="str">
        <f>REPLACE(INDEX(GroupVertices[Group],MATCH("~"&amp;Edges[[#This Row],[Vertex 1]],GroupVertices[Vertex],0)),1,1,"")</f>
        <v>1</v>
      </c>
      <c r="AD1141" s="80" t="str">
        <f>REPLACE(INDEX(GroupVertices[Group],MATCH("~"&amp;Edges[[#This Row],[Vertex 2]],GroupVertices[Vertex],0)),1,1,"")</f>
        <v>3</v>
      </c>
      <c r="AE1141" s="105"/>
      <c r="AF1141" s="105"/>
      <c r="AG1141" s="105"/>
      <c r="AH1141" s="105"/>
      <c r="AI1141" s="105"/>
      <c r="AJ1141" s="105"/>
      <c r="AK1141" s="105"/>
      <c r="AL1141" s="105"/>
      <c r="AM1141" s="105"/>
    </row>
    <row r="1142" spans="1:39" ht="15">
      <c r="A1142" s="62" t="s">
        <v>280</v>
      </c>
      <c r="B1142" s="62" t="s">
        <v>303</v>
      </c>
      <c r="C1142" s="63" t="s">
        <v>3598</v>
      </c>
      <c r="D1142" s="64">
        <v>5</v>
      </c>
      <c r="E1142" s="65" t="s">
        <v>132</v>
      </c>
      <c r="F1142" s="66">
        <v>32</v>
      </c>
      <c r="G1142" s="63"/>
      <c r="H1142" s="67"/>
      <c r="I1142" s="68"/>
      <c r="J1142" s="68"/>
      <c r="K1142" s="31" t="s">
        <v>65</v>
      </c>
      <c r="L1142" s="76">
        <v>1142</v>
      </c>
      <c r="M1142" s="76"/>
      <c r="N1142" s="70"/>
      <c r="O1142" s="78" t="s">
        <v>305</v>
      </c>
      <c r="P1142" s="78" t="s">
        <v>483</v>
      </c>
      <c r="Q1142" s="78" t="s">
        <v>969</v>
      </c>
      <c r="R1142" s="78" t="s">
        <v>1457</v>
      </c>
      <c r="S1142" s="78"/>
      <c r="T1142" s="78"/>
      <c r="U1142" s="78"/>
      <c r="V1142" s="78"/>
      <c r="W1142" s="81" t="s">
        <v>1674</v>
      </c>
      <c r="X1142" s="81" t="s">
        <v>1674</v>
      </c>
      <c r="Y1142" s="78"/>
      <c r="Z1142" s="78"/>
      <c r="AA1142" s="81" t="s">
        <v>1674</v>
      </c>
      <c r="AB1142" s="79">
        <v>1</v>
      </c>
      <c r="AC1142" s="80" t="str">
        <f>REPLACE(INDEX(GroupVertices[Group],MATCH("~"&amp;Edges[[#This Row],[Vertex 1]],GroupVertices[Vertex],0)),1,1,"")</f>
        <v>3</v>
      </c>
      <c r="AD1142" s="80" t="str">
        <f>REPLACE(INDEX(GroupVertices[Group],MATCH("~"&amp;Edges[[#This Row],[Vertex 2]],GroupVertices[Vertex],0)),1,1,"")</f>
        <v>3</v>
      </c>
      <c r="AE1142" s="105"/>
      <c r="AF1142" s="105"/>
      <c r="AG1142" s="105"/>
      <c r="AH1142" s="105"/>
      <c r="AI1142" s="105"/>
      <c r="AJ1142" s="105"/>
      <c r="AK1142" s="105"/>
      <c r="AL1142" s="105"/>
      <c r="AM1142" s="105"/>
    </row>
    <row r="1143" spans="1:39" ht="15">
      <c r="A1143" s="62" t="s">
        <v>289</v>
      </c>
      <c r="B1143" s="62" t="s">
        <v>303</v>
      </c>
      <c r="C1143" s="63" t="s">
        <v>3598</v>
      </c>
      <c r="D1143" s="64">
        <v>5</v>
      </c>
      <c r="E1143" s="65" t="s">
        <v>132</v>
      </c>
      <c r="F1143" s="66">
        <v>32</v>
      </c>
      <c r="G1143" s="63"/>
      <c r="H1143" s="67"/>
      <c r="I1143" s="68"/>
      <c r="J1143" s="68"/>
      <c r="K1143" s="31" t="s">
        <v>65</v>
      </c>
      <c r="L1143" s="76">
        <v>1143</v>
      </c>
      <c r="M1143" s="76"/>
      <c r="N1143" s="70"/>
      <c r="O1143" s="78" t="s">
        <v>305</v>
      </c>
      <c r="P1143" s="78" t="s">
        <v>622</v>
      </c>
      <c r="Q1143" s="78" t="s">
        <v>1205</v>
      </c>
      <c r="R1143" s="78" t="s">
        <v>1618</v>
      </c>
      <c r="S1143" s="78"/>
      <c r="T1143" s="78"/>
      <c r="U1143" s="78"/>
      <c r="V1143" s="78"/>
      <c r="W1143" s="81" t="s">
        <v>1674</v>
      </c>
      <c r="X1143" s="81" t="s">
        <v>1674</v>
      </c>
      <c r="Y1143" s="78"/>
      <c r="Z1143" s="78"/>
      <c r="AA1143" s="81" t="s">
        <v>1674</v>
      </c>
      <c r="AB1143" s="79">
        <v>1</v>
      </c>
      <c r="AC1143" s="80" t="str">
        <f>REPLACE(INDEX(GroupVertices[Group],MATCH("~"&amp;Edges[[#This Row],[Vertex 1]],GroupVertices[Vertex],0)),1,1,"")</f>
        <v>3</v>
      </c>
      <c r="AD1143" s="80" t="str">
        <f>REPLACE(INDEX(GroupVertices[Group],MATCH("~"&amp;Edges[[#This Row],[Vertex 2]],GroupVertices[Vertex],0)),1,1,"")</f>
        <v>3</v>
      </c>
      <c r="AE1143" s="105"/>
      <c r="AF1143" s="105"/>
      <c r="AG1143" s="105"/>
      <c r="AH1143" s="105"/>
      <c r="AI1143" s="105"/>
      <c r="AJ1143" s="105"/>
      <c r="AK1143" s="105"/>
      <c r="AL1143" s="105"/>
      <c r="AM1143" s="105"/>
    </row>
    <row r="1144" spans="1:39" ht="15">
      <c r="A1144" s="62" t="s">
        <v>247</v>
      </c>
      <c r="B1144" s="62" t="s">
        <v>223</v>
      </c>
      <c r="C1144" s="63" t="s">
        <v>3608</v>
      </c>
      <c r="D1144" s="64">
        <v>6.842105263157895</v>
      </c>
      <c r="E1144" s="65" t="s">
        <v>136</v>
      </c>
      <c r="F1144" s="66">
        <v>28.566037735849058</v>
      </c>
      <c r="G1144" s="63"/>
      <c r="H1144" s="67"/>
      <c r="I1144" s="68"/>
      <c r="J1144" s="68"/>
      <c r="K1144" s="31" t="s">
        <v>65</v>
      </c>
      <c r="L1144" s="76">
        <v>1144</v>
      </c>
      <c r="M1144" s="76"/>
      <c r="N1144" s="70"/>
      <c r="O1144" s="78" t="s">
        <v>305</v>
      </c>
      <c r="P1144" s="78" t="s">
        <v>623</v>
      </c>
      <c r="Q1144" s="78" t="s">
        <v>1206</v>
      </c>
      <c r="R1144" s="78" t="s">
        <v>1619</v>
      </c>
      <c r="S1144" s="78"/>
      <c r="T1144" s="78"/>
      <c r="U1144" s="78"/>
      <c r="V1144" s="78"/>
      <c r="W1144" s="81" t="s">
        <v>1674</v>
      </c>
      <c r="X1144" s="81" t="s">
        <v>1674</v>
      </c>
      <c r="Y1144" s="78"/>
      <c r="Z1144" s="78"/>
      <c r="AA1144" s="81" t="s">
        <v>1674</v>
      </c>
      <c r="AB1144" s="79">
        <v>8</v>
      </c>
      <c r="AC1144" s="80" t="str">
        <f>REPLACE(INDEX(GroupVertices[Group],MATCH("~"&amp;Edges[[#This Row],[Vertex 1]],GroupVertices[Vertex],0)),1,1,"")</f>
        <v>2</v>
      </c>
      <c r="AD1144" s="80" t="str">
        <f>REPLACE(INDEX(GroupVertices[Group],MATCH("~"&amp;Edges[[#This Row],[Vertex 2]],GroupVertices[Vertex],0)),1,1,"")</f>
        <v>5</v>
      </c>
      <c r="AE1144" s="105"/>
      <c r="AF1144" s="105"/>
      <c r="AG1144" s="105"/>
      <c r="AH1144" s="105"/>
      <c r="AI1144" s="105"/>
      <c r="AJ1144" s="105"/>
      <c r="AK1144" s="105"/>
      <c r="AL1144" s="105"/>
      <c r="AM1144" s="105"/>
    </row>
    <row r="1145" spans="1:39" ht="15">
      <c r="A1145" s="62" t="s">
        <v>247</v>
      </c>
      <c r="B1145" s="62" t="s">
        <v>223</v>
      </c>
      <c r="C1145" s="63" t="s">
        <v>3608</v>
      </c>
      <c r="D1145" s="64">
        <v>6.842105263157895</v>
      </c>
      <c r="E1145" s="65" t="s">
        <v>136</v>
      </c>
      <c r="F1145" s="66">
        <v>28.566037735849058</v>
      </c>
      <c r="G1145" s="63"/>
      <c r="H1145" s="67"/>
      <c r="I1145" s="68"/>
      <c r="J1145" s="68"/>
      <c r="K1145" s="31" t="s">
        <v>65</v>
      </c>
      <c r="L1145" s="76">
        <v>1145</v>
      </c>
      <c r="M1145" s="76"/>
      <c r="N1145" s="70"/>
      <c r="O1145" s="78" t="s">
        <v>305</v>
      </c>
      <c r="P1145" s="78" t="s">
        <v>623</v>
      </c>
      <c r="Q1145" s="78" t="s">
        <v>1206</v>
      </c>
      <c r="R1145" s="78" t="s">
        <v>1620</v>
      </c>
      <c r="S1145" s="78"/>
      <c r="T1145" s="78"/>
      <c r="U1145" s="78"/>
      <c r="V1145" s="78"/>
      <c r="W1145" s="81" t="s">
        <v>1674</v>
      </c>
      <c r="X1145" s="81" t="s">
        <v>1674</v>
      </c>
      <c r="Y1145" s="78"/>
      <c r="Z1145" s="78"/>
      <c r="AA1145" s="81" t="s">
        <v>1674</v>
      </c>
      <c r="AB1145" s="79">
        <v>8</v>
      </c>
      <c r="AC1145" s="80" t="str">
        <f>REPLACE(INDEX(GroupVertices[Group],MATCH("~"&amp;Edges[[#This Row],[Vertex 1]],GroupVertices[Vertex],0)),1,1,"")</f>
        <v>2</v>
      </c>
      <c r="AD1145" s="80" t="str">
        <f>REPLACE(INDEX(GroupVertices[Group],MATCH("~"&amp;Edges[[#This Row],[Vertex 2]],GroupVertices[Vertex],0)),1,1,"")</f>
        <v>5</v>
      </c>
      <c r="AE1145" s="105"/>
      <c r="AF1145" s="105"/>
      <c r="AG1145" s="105"/>
      <c r="AH1145" s="105"/>
      <c r="AI1145" s="105"/>
      <c r="AJ1145" s="105"/>
      <c r="AK1145" s="105"/>
      <c r="AL1145" s="105"/>
      <c r="AM1145" s="105"/>
    </row>
    <row r="1146" spans="1:39" ht="15">
      <c r="A1146" s="62" t="s">
        <v>247</v>
      </c>
      <c r="B1146" s="62" t="s">
        <v>223</v>
      </c>
      <c r="C1146" s="63" t="s">
        <v>3608</v>
      </c>
      <c r="D1146" s="64">
        <v>6.842105263157895</v>
      </c>
      <c r="E1146" s="65" t="s">
        <v>136</v>
      </c>
      <c r="F1146" s="66">
        <v>28.566037735849058</v>
      </c>
      <c r="G1146" s="63"/>
      <c r="H1146" s="67"/>
      <c r="I1146" s="68"/>
      <c r="J1146" s="68"/>
      <c r="K1146" s="31" t="s">
        <v>65</v>
      </c>
      <c r="L1146" s="76">
        <v>1146</v>
      </c>
      <c r="M1146" s="76"/>
      <c r="N1146" s="70"/>
      <c r="O1146" s="78" t="s">
        <v>305</v>
      </c>
      <c r="P1146" s="78" t="s">
        <v>623</v>
      </c>
      <c r="Q1146" s="78" t="s">
        <v>1207</v>
      </c>
      <c r="R1146" s="78" t="s">
        <v>1619</v>
      </c>
      <c r="S1146" s="78"/>
      <c r="T1146" s="78"/>
      <c r="U1146" s="78"/>
      <c r="V1146" s="78"/>
      <c r="W1146" s="81" t="s">
        <v>1674</v>
      </c>
      <c r="X1146" s="81" t="s">
        <v>1674</v>
      </c>
      <c r="Y1146" s="78"/>
      <c r="Z1146" s="78"/>
      <c r="AA1146" s="81" t="s">
        <v>1674</v>
      </c>
      <c r="AB1146" s="79">
        <v>8</v>
      </c>
      <c r="AC1146" s="80" t="str">
        <f>REPLACE(INDEX(GroupVertices[Group],MATCH("~"&amp;Edges[[#This Row],[Vertex 1]],GroupVertices[Vertex],0)),1,1,"")</f>
        <v>2</v>
      </c>
      <c r="AD1146" s="80" t="str">
        <f>REPLACE(INDEX(GroupVertices[Group],MATCH("~"&amp;Edges[[#This Row],[Vertex 2]],GroupVertices[Vertex],0)),1,1,"")</f>
        <v>5</v>
      </c>
      <c r="AE1146" s="105"/>
      <c r="AF1146" s="105"/>
      <c r="AG1146" s="105"/>
      <c r="AH1146" s="105"/>
      <c r="AI1146" s="105"/>
      <c r="AJ1146" s="105"/>
      <c r="AK1146" s="105"/>
      <c r="AL1146" s="105"/>
      <c r="AM1146" s="105"/>
    </row>
    <row r="1147" spans="1:39" ht="15">
      <c r="A1147" s="62" t="s">
        <v>247</v>
      </c>
      <c r="B1147" s="62" t="s">
        <v>223</v>
      </c>
      <c r="C1147" s="63" t="s">
        <v>3608</v>
      </c>
      <c r="D1147" s="64">
        <v>6.842105263157895</v>
      </c>
      <c r="E1147" s="65" t="s">
        <v>136</v>
      </c>
      <c r="F1147" s="66">
        <v>28.566037735849058</v>
      </c>
      <c r="G1147" s="63"/>
      <c r="H1147" s="67"/>
      <c r="I1147" s="68"/>
      <c r="J1147" s="68"/>
      <c r="K1147" s="31" t="s">
        <v>65</v>
      </c>
      <c r="L1147" s="76">
        <v>1147</v>
      </c>
      <c r="M1147" s="76"/>
      <c r="N1147" s="70"/>
      <c r="O1147" s="78" t="s">
        <v>305</v>
      </c>
      <c r="P1147" s="78" t="s">
        <v>623</v>
      </c>
      <c r="Q1147" s="78" t="s">
        <v>1207</v>
      </c>
      <c r="R1147" s="78" t="s">
        <v>1620</v>
      </c>
      <c r="S1147" s="78"/>
      <c r="T1147" s="78"/>
      <c r="U1147" s="78"/>
      <c r="V1147" s="78"/>
      <c r="W1147" s="81" t="s">
        <v>1674</v>
      </c>
      <c r="X1147" s="81" t="s">
        <v>1674</v>
      </c>
      <c r="Y1147" s="78"/>
      <c r="Z1147" s="78"/>
      <c r="AA1147" s="81" t="s">
        <v>1674</v>
      </c>
      <c r="AB1147" s="79">
        <v>8</v>
      </c>
      <c r="AC1147" s="80" t="str">
        <f>REPLACE(INDEX(GroupVertices[Group],MATCH("~"&amp;Edges[[#This Row],[Vertex 1]],GroupVertices[Vertex],0)),1,1,"")</f>
        <v>2</v>
      </c>
      <c r="AD1147" s="80" t="str">
        <f>REPLACE(INDEX(GroupVertices[Group],MATCH("~"&amp;Edges[[#This Row],[Vertex 2]],GroupVertices[Vertex],0)),1,1,"")</f>
        <v>5</v>
      </c>
      <c r="AE1147" s="105"/>
      <c r="AF1147" s="105"/>
      <c r="AG1147" s="105"/>
      <c r="AH1147" s="105"/>
      <c r="AI1147" s="105"/>
      <c r="AJ1147" s="105"/>
      <c r="AK1147" s="105"/>
      <c r="AL1147" s="105"/>
      <c r="AM1147" s="105"/>
    </row>
    <row r="1148" spans="1:39" ht="15">
      <c r="A1148" s="62" t="s">
        <v>247</v>
      </c>
      <c r="B1148" s="62" t="s">
        <v>223</v>
      </c>
      <c r="C1148" s="63" t="s">
        <v>3608</v>
      </c>
      <c r="D1148" s="64">
        <v>6.842105263157895</v>
      </c>
      <c r="E1148" s="65" t="s">
        <v>136</v>
      </c>
      <c r="F1148" s="66">
        <v>28.566037735849058</v>
      </c>
      <c r="G1148" s="63"/>
      <c r="H1148" s="67"/>
      <c r="I1148" s="68"/>
      <c r="J1148" s="68"/>
      <c r="K1148" s="31" t="s">
        <v>65</v>
      </c>
      <c r="L1148" s="76">
        <v>1148</v>
      </c>
      <c r="M1148" s="76"/>
      <c r="N1148" s="70"/>
      <c r="O1148" s="78" t="s">
        <v>305</v>
      </c>
      <c r="P1148" s="78" t="s">
        <v>623</v>
      </c>
      <c r="Q1148" s="78" t="s">
        <v>1208</v>
      </c>
      <c r="R1148" s="78" t="s">
        <v>1619</v>
      </c>
      <c r="S1148" s="78"/>
      <c r="T1148" s="78"/>
      <c r="U1148" s="78"/>
      <c r="V1148" s="78"/>
      <c r="W1148" s="81" t="s">
        <v>1674</v>
      </c>
      <c r="X1148" s="81" t="s">
        <v>1674</v>
      </c>
      <c r="Y1148" s="78"/>
      <c r="Z1148" s="78"/>
      <c r="AA1148" s="81" t="s">
        <v>1674</v>
      </c>
      <c r="AB1148" s="79">
        <v>8</v>
      </c>
      <c r="AC1148" s="80" t="str">
        <f>REPLACE(INDEX(GroupVertices[Group],MATCH("~"&amp;Edges[[#This Row],[Vertex 1]],GroupVertices[Vertex],0)),1,1,"")</f>
        <v>2</v>
      </c>
      <c r="AD1148" s="80" t="str">
        <f>REPLACE(INDEX(GroupVertices[Group],MATCH("~"&amp;Edges[[#This Row],[Vertex 2]],GroupVertices[Vertex],0)),1,1,"")</f>
        <v>5</v>
      </c>
      <c r="AE1148" s="105"/>
      <c r="AF1148" s="105"/>
      <c r="AG1148" s="105"/>
      <c r="AH1148" s="105"/>
      <c r="AI1148" s="105"/>
      <c r="AJ1148" s="105"/>
      <c r="AK1148" s="105"/>
      <c r="AL1148" s="105"/>
      <c r="AM1148" s="105"/>
    </row>
    <row r="1149" spans="1:39" ht="15">
      <c r="A1149" s="62" t="s">
        <v>247</v>
      </c>
      <c r="B1149" s="62" t="s">
        <v>223</v>
      </c>
      <c r="C1149" s="63" t="s">
        <v>3608</v>
      </c>
      <c r="D1149" s="64">
        <v>6.842105263157895</v>
      </c>
      <c r="E1149" s="65" t="s">
        <v>136</v>
      </c>
      <c r="F1149" s="66">
        <v>28.566037735849058</v>
      </c>
      <c r="G1149" s="63"/>
      <c r="H1149" s="67"/>
      <c r="I1149" s="68"/>
      <c r="J1149" s="68"/>
      <c r="K1149" s="31" t="s">
        <v>65</v>
      </c>
      <c r="L1149" s="76">
        <v>1149</v>
      </c>
      <c r="M1149" s="76"/>
      <c r="N1149" s="70"/>
      <c r="O1149" s="78" t="s">
        <v>305</v>
      </c>
      <c r="P1149" s="78" t="s">
        <v>623</v>
      </c>
      <c r="Q1149" s="78" t="s">
        <v>1208</v>
      </c>
      <c r="R1149" s="78" t="s">
        <v>1620</v>
      </c>
      <c r="S1149" s="78"/>
      <c r="T1149" s="78"/>
      <c r="U1149" s="78"/>
      <c r="V1149" s="78"/>
      <c r="W1149" s="81" t="s">
        <v>1674</v>
      </c>
      <c r="X1149" s="81" t="s">
        <v>1674</v>
      </c>
      <c r="Y1149" s="78"/>
      <c r="Z1149" s="78"/>
      <c r="AA1149" s="81" t="s">
        <v>1674</v>
      </c>
      <c r="AB1149" s="79">
        <v>8</v>
      </c>
      <c r="AC1149" s="80" t="str">
        <f>REPLACE(INDEX(GroupVertices[Group],MATCH("~"&amp;Edges[[#This Row],[Vertex 1]],GroupVertices[Vertex],0)),1,1,"")</f>
        <v>2</v>
      </c>
      <c r="AD1149" s="80" t="str">
        <f>REPLACE(INDEX(GroupVertices[Group],MATCH("~"&amp;Edges[[#This Row],[Vertex 2]],GroupVertices[Vertex],0)),1,1,"")</f>
        <v>5</v>
      </c>
      <c r="AE1149" s="105"/>
      <c r="AF1149" s="105"/>
      <c r="AG1149" s="105"/>
      <c r="AH1149" s="105"/>
      <c r="AI1149" s="105"/>
      <c r="AJ1149" s="105"/>
      <c r="AK1149" s="105"/>
      <c r="AL1149" s="105"/>
      <c r="AM1149" s="105"/>
    </row>
    <row r="1150" spans="1:39" ht="15">
      <c r="A1150" s="62" t="s">
        <v>247</v>
      </c>
      <c r="B1150" s="62" t="s">
        <v>223</v>
      </c>
      <c r="C1150" s="63" t="s">
        <v>3608</v>
      </c>
      <c r="D1150" s="64">
        <v>6.842105263157895</v>
      </c>
      <c r="E1150" s="65" t="s">
        <v>136</v>
      </c>
      <c r="F1150" s="66">
        <v>28.566037735849058</v>
      </c>
      <c r="G1150" s="63"/>
      <c r="H1150" s="67"/>
      <c r="I1150" s="68"/>
      <c r="J1150" s="68"/>
      <c r="K1150" s="31" t="s">
        <v>65</v>
      </c>
      <c r="L1150" s="76">
        <v>1150</v>
      </c>
      <c r="M1150" s="76"/>
      <c r="N1150" s="70"/>
      <c r="O1150" s="78" t="s">
        <v>305</v>
      </c>
      <c r="P1150" s="78" t="s">
        <v>623</v>
      </c>
      <c r="Q1150" s="78" t="s">
        <v>1209</v>
      </c>
      <c r="R1150" s="78" t="s">
        <v>1619</v>
      </c>
      <c r="S1150" s="78"/>
      <c r="T1150" s="78"/>
      <c r="U1150" s="78"/>
      <c r="V1150" s="78"/>
      <c r="W1150" s="81" t="s">
        <v>1674</v>
      </c>
      <c r="X1150" s="81" t="s">
        <v>1674</v>
      </c>
      <c r="Y1150" s="78"/>
      <c r="Z1150" s="78"/>
      <c r="AA1150" s="81" t="s">
        <v>1674</v>
      </c>
      <c r="AB1150" s="79">
        <v>8</v>
      </c>
      <c r="AC1150" s="80" t="str">
        <f>REPLACE(INDEX(GroupVertices[Group],MATCH("~"&amp;Edges[[#This Row],[Vertex 1]],GroupVertices[Vertex],0)),1,1,"")</f>
        <v>2</v>
      </c>
      <c r="AD1150" s="80" t="str">
        <f>REPLACE(INDEX(GroupVertices[Group],MATCH("~"&amp;Edges[[#This Row],[Vertex 2]],GroupVertices[Vertex],0)),1,1,"")</f>
        <v>5</v>
      </c>
      <c r="AE1150" s="105"/>
      <c r="AF1150" s="105"/>
      <c r="AG1150" s="105"/>
      <c r="AH1150" s="105"/>
      <c r="AI1150" s="105"/>
      <c r="AJ1150" s="105"/>
      <c r="AK1150" s="105"/>
      <c r="AL1150" s="105"/>
      <c r="AM1150" s="105"/>
    </row>
    <row r="1151" spans="1:39" ht="15">
      <c r="A1151" s="62" t="s">
        <v>247</v>
      </c>
      <c r="B1151" s="62" t="s">
        <v>223</v>
      </c>
      <c r="C1151" s="63" t="s">
        <v>3608</v>
      </c>
      <c r="D1151" s="64">
        <v>6.842105263157895</v>
      </c>
      <c r="E1151" s="65" t="s">
        <v>136</v>
      </c>
      <c r="F1151" s="66">
        <v>28.566037735849058</v>
      </c>
      <c r="G1151" s="63"/>
      <c r="H1151" s="67"/>
      <c r="I1151" s="68"/>
      <c r="J1151" s="68"/>
      <c r="K1151" s="31" t="s">
        <v>65</v>
      </c>
      <c r="L1151" s="76">
        <v>1151</v>
      </c>
      <c r="M1151" s="76"/>
      <c r="N1151" s="70"/>
      <c r="O1151" s="78" t="s">
        <v>305</v>
      </c>
      <c r="P1151" s="78" t="s">
        <v>623</v>
      </c>
      <c r="Q1151" s="78" t="s">
        <v>1209</v>
      </c>
      <c r="R1151" s="78" t="s">
        <v>1620</v>
      </c>
      <c r="S1151" s="78"/>
      <c r="T1151" s="78"/>
      <c r="U1151" s="78"/>
      <c r="V1151" s="78"/>
      <c r="W1151" s="81" t="s">
        <v>1674</v>
      </c>
      <c r="X1151" s="81" t="s">
        <v>1674</v>
      </c>
      <c r="Y1151" s="78"/>
      <c r="Z1151" s="78"/>
      <c r="AA1151" s="81" t="s">
        <v>1674</v>
      </c>
      <c r="AB1151" s="79">
        <v>8</v>
      </c>
      <c r="AC1151" s="80" t="str">
        <f>REPLACE(INDEX(GroupVertices[Group],MATCH("~"&amp;Edges[[#This Row],[Vertex 1]],GroupVertices[Vertex],0)),1,1,"")</f>
        <v>2</v>
      </c>
      <c r="AD1151" s="80" t="str">
        <f>REPLACE(INDEX(GroupVertices[Group],MATCH("~"&amp;Edges[[#This Row],[Vertex 2]],GroupVertices[Vertex],0)),1,1,"")</f>
        <v>5</v>
      </c>
      <c r="AE1151" s="105"/>
      <c r="AF1151" s="105"/>
      <c r="AG1151" s="105"/>
      <c r="AH1151" s="105"/>
      <c r="AI1151" s="105"/>
      <c r="AJ1151" s="105"/>
      <c r="AK1151" s="105"/>
      <c r="AL1151" s="105"/>
      <c r="AM1151" s="105"/>
    </row>
    <row r="1152" spans="1:39" ht="15">
      <c r="A1152" s="62" t="s">
        <v>289</v>
      </c>
      <c r="B1152" s="62" t="s">
        <v>223</v>
      </c>
      <c r="C1152" s="63" t="s">
        <v>3598</v>
      </c>
      <c r="D1152" s="64">
        <v>5</v>
      </c>
      <c r="E1152" s="65" t="s">
        <v>132</v>
      </c>
      <c r="F1152" s="66">
        <v>32</v>
      </c>
      <c r="G1152" s="63"/>
      <c r="H1152" s="67"/>
      <c r="I1152" s="68"/>
      <c r="J1152" s="68"/>
      <c r="K1152" s="31" t="s">
        <v>65</v>
      </c>
      <c r="L1152" s="76">
        <v>1152</v>
      </c>
      <c r="M1152" s="76"/>
      <c r="N1152" s="70"/>
      <c r="O1152" s="78" t="s">
        <v>305</v>
      </c>
      <c r="P1152" s="78" t="s">
        <v>624</v>
      </c>
      <c r="Q1152" s="78" t="s">
        <v>1210</v>
      </c>
      <c r="R1152" s="78" t="s">
        <v>1621</v>
      </c>
      <c r="S1152" s="78"/>
      <c r="T1152" s="78"/>
      <c r="U1152" s="78"/>
      <c r="V1152" s="78"/>
      <c r="W1152" s="81" t="s">
        <v>1674</v>
      </c>
      <c r="X1152" s="81" t="s">
        <v>1674</v>
      </c>
      <c r="Y1152" s="78"/>
      <c r="Z1152" s="78"/>
      <c r="AA1152" s="81" t="s">
        <v>1674</v>
      </c>
      <c r="AB1152" s="79">
        <v>1</v>
      </c>
      <c r="AC1152" s="80" t="str">
        <f>REPLACE(INDEX(GroupVertices[Group],MATCH("~"&amp;Edges[[#This Row],[Vertex 1]],GroupVertices[Vertex],0)),1,1,"")</f>
        <v>3</v>
      </c>
      <c r="AD1152" s="80" t="str">
        <f>REPLACE(INDEX(GroupVertices[Group],MATCH("~"&amp;Edges[[#This Row],[Vertex 2]],GroupVertices[Vertex],0)),1,1,"")</f>
        <v>5</v>
      </c>
      <c r="AE1152" s="105"/>
      <c r="AF1152" s="105"/>
      <c r="AG1152" s="105"/>
      <c r="AH1152" s="105"/>
      <c r="AI1152" s="105"/>
      <c r="AJ1152" s="105"/>
      <c r="AK1152" s="105"/>
      <c r="AL1152" s="105"/>
      <c r="AM1152" s="105"/>
    </row>
    <row r="1153" spans="1:39" ht="15">
      <c r="A1153" s="62" t="s">
        <v>245</v>
      </c>
      <c r="B1153" s="62" t="s">
        <v>250</v>
      </c>
      <c r="C1153" s="63" t="s">
        <v>3598</v>
      </c>
      <c r="D1153" s="64">
        <v>5</v>
      </c>
      <c r="E1153" s="65" t="s">
        <v>132</v>
      </c>
      <c r="F1153" s="66">
        <v>32</v>
      </c>
      <c r="G1153" s="63"/>
      <c r="H1153" s="67"/>
      <c r="I1153" s="68"/>
      <c r="J1153" s="68"/>
      <c r="K1153" s="31" t="s">
        <v>65</v>
      </c>
      <c r="L1153" s="76">
        <v>1153</v>
      </c>
      <c r="M1153" s="76"/>
      <c r="N1153" s="70"/>
      <c r="O1153" s="78" t="s">
        <v>305</v>
      </c>
      <c r="P1153" s="78" t="s">
        <v>625</v>
      </c>
      <c r="Q1153" s="78" t="s">
        <v>1211</v>
      </c>
      <c r="R1153" s="78" t="s">
        <v>1622</v>
      </c>
      <c r="S1153" s="78"/>
      <c r="T1153" s="78"/>
      <c r="U1153" s="78"/>
      <c r="V1153" s="78"/>
      <c r="W1153" s="81" t="s">
        <v>1674</v>
      </c>
      <c r="X1153" s="81" t="s">
        <v>1674</v>
      </c>
      <c r="Y1153" s="78"/>
      <c r="Z1153" s="78"/>
      <c r="AA1153" s="81" t="s">
        <v>1674</v>
      </c>
      <c r="AB1153" s="79">
        <v>1</v>
      </c>
      <c r="AC1153" s="80" t="str">
        <f>REPLACE(INDEX(GroupVertices[Group],MATCH("~"&amp;Edges[[#This Row],[Vertex 1]],GroupVertices[Vertex],0)),1,1,"")</f>
        <v>1</v>
      </c>
      <c r="AD1153" s="80" t="str">
        <f>REPLACE(INDEX(GroupVertices[Group],MATCH("~"&amp;Edges[[#This Row],[Vertex 2]],GroupVertices[Vertex],0)),1,1,"")</f>
        <v>1</v>
      </c>
      <c r="AE1153" s="105"/>
      <c r="AF1153" s="105"/>
      <c r="AG1153" s="105"/>
      <c r="AH1153" s="105"/>
      <c r="AI1153" s="105"/>
      <c r="AJ1153" s="105"/>
      <c r="AK1153" s="105"/>
      <c r="AL1153" s="105"/>
      <c r="AM1153" s="105"/>
    </row>
    <row r="1154" spans="1:39" ht="15">
      <c r="A1154" s="62" t="s">
        <v>246</v>
      </c>
      <c r="B1154" s="62" t="s">
        <v>250</v>
      </c>
      <c r="C1154" s="63" t="s">
        <v>3598</v>
      </c>
      <c r="D1154" s="64">
        <v>5</v>
      </c>
      <c r="E1154" s="65" t="s">
        <v>132</v>
      </c>
      <c r="F1154" s="66">
        <v>32</v>
      </c>
      <c r="G1154" s="63"/>
      <c r="H1154" s="67"/>
      <c r="I1154" s="68"/>
      <c r="J1154" s="68"/>
      <c r="K1154" s="31" t="s">
        <v>65</v>
      </c>
      <c r="L1154" s="76">
        <v>1154</v>
      </c>
      <c r="M1154" s="76"/>
      <c r="N1154" s="70"/>
      <c r="O1154" s="78" t="s">
        <v>305</v>
      </c>
      <c r="P1154" s="78" t="s">
        <v>625</v>
      </c>
      <c r="Q1154" s="78" t="s">
        <v>1212</v>
      </c>
      <c r="R1154" s="78" t="s">
        <v>1622</v>
      </c>
      <c r="S1154" s="78"/>
      <c r="T1154" s="78"/>
      <c r="U1154" s="78"/>
      <c r="V1154" s="78"/>
      <c r="W1154" s="81" t="s">
        <v>1674</v>
      </c>
      <c r="X1154" s="81" t="s">
        <v>1674</v>
      </c>
      <c r="Y1154" s="78"/>
      <c r="Z1154" s="78"/>
      <c r="AA1154" s="81" t="s">
        <v>1674</v>
      </c>
      <c r="AB1154" s="79">
        <v>1</v>
      </c>
      <c r="AC1154" s="80" t="str">
        <f>REPLACE(INDEX(GroupVertices[Group],MATCH("~"&amp;Edges[[#This Row],[Vertex 1]],GroupVertices[Vertex],0)),1,1,"")</f>
        <v>3</v>
      </c>
      <c r="AD1154" s="80" t="str">
        <f>REPLACE(INDEX(GroupVertices[Group],MATCH("~"&amp;Edges[[#This Row],[Vertex 2]],GroupVertices[Vertex],0)),1,1,"")</f>
        <v>1</v>
      </c>
      <c r="AE1154" s="105"/>
      <c r="AF1154" s="105"/>
      <c r="AG1154" s="105"/>
      <c r="AH1154" s="105"/>
      <c r="AI1154" s="105"/>
      <c r="AJ1154" s="105"/>
      <c r="AK1154" s="105"/>
      <c r="AL1154" s="105"/>
      <c r="AM1154" s="105"/>
    </row>
    <row r="1155" spans="1:39" ht="15">
      <c r="A1155" s="62" t="s">
        <v>277</v>
      </c>
      <c r="B1155" s="62" t="s">
        <v>250</v>
      </c>
      <c r="C1155" s="63" t="s">
        <v>3598</v>
      </c>
      <c r="D1155" s="64">
        <v>5</v>
      </c>
      <c r="E1155" s="65" t="s">
        <v>132</v>
      </c>
      <c r="F1155" s="66">
        <v>32</v>
      </c>
      <c r="G1155" s="63"/>
      <c r="H1155" s="67"/>
      <c r="I1155" s="68"/>
      <c r="J1155" s="68"/>
      <c r="K1155" s="31" t="s">
        <v>65</v>
      </c>
      <c r="L1155" s="76">
        <v>1155</v>
      </c>
      <c r="M1155" s="76"/>
      <c r="N1155" s="70"/>
      <c r="O1155" s="78" t="s">
        <v>305</v>
      </c>
      <c r="P1155" s="78" t="s">
        <v>625</v>
      </c>
      <c r="Q1155" s="78" t="s">
        <v>1213</v>
      </c>
      <c r="R1155" s="78" t="s">
        <v>1622</v>
      </c>
      <c r="S1155" s="78"/>
      <c r="T1155" s="78"/>
      <c r="U1155" s="78"/>
      <c r="V1155" s="78"/>
      <c r="W1155" s="81" t="s">
        <v>1674</v>
      </c>
      <c r="X1155" s="81" t="s">
        <v>1674</v>
      </c>
      <c r="Y1155" s="78"/>
      <c r="Z1155" s="78"/>
      <c r="AA1155" s="81" t="s">
        <v>1674</v>
      </c>
      <c r="AB1155" s="79">
        <v>1</v>
      </c>
      <c r="AC1155" s="80" t="str">
        <f>REPLACE(INDEX(GroupVertices[Group],MATCH("~"&amp;Edges[[#This Row],[Vertex 1]],GroupVertices[Vertex],0)),1,1,"")</f>
        <v>1</v>
      </c>
      <c r="AD1155" s="80" t="str">
        <f>REPLACE(INDEX(GroupVertices[Group],MATCH("~"&amp;Edges[[#This Row],[Vertex 2]],GroupVertices[Vertex],0)),1,1,"")</f>
        <v>1</v>
      </c>
      <c r="AE1155" s="105"/>
      <c r="AF1155" s="105"/>
      <c r="AG1155" s="105"/>
      <c r="AH1155" s="105"/>
      <c r="AI1155" s="105"/>
      <c r="AJ1155" s="105"/>
      <c r="AK1155" s="105"/>
      <c r="AL1155" s="105"/>
      <c r="AM1155" s="105"/>
    </row>
    <row r="1156" spans="1:39" ht="15">
      <c r="A1156" s="62" t="s">
        <v>289</v>
      </c>
      <c r="B1156" s="62" t="s">
        <v>250</v>
      </c>
      <c r="C1156" s="63" t="s">
        <v>3598</v>
      </c>
      <c r="D1156" s="64">
        <v>5</v>
      </c>
      <c r="E1156" s="65" t="s">
        <v>132</v>
      </c>
      <c r="F1156" s="66">
        <v>32</v>
      </c>
      <c r="G1156" s="63"/>
      <c r="H1156" s="67"/>
      <c r="I1156" s="68"/>
      <c r="J1156" s="68"/>
      <c r="K1156" s="31" t="s">
        <v>65</v>
      </c>
      <c r="L1156" s="76">
        <v>1156</v>
      </c>
      <c r="M1156" s="76"/>
      <c r="N1156" s="70"/>
      <c r="O1156" s="78" t="s">
        <v>305</v>
      </c>
      <c r="P1156" s="78" t="s">
        <v>625</v>
      </c>
      <c r="Q1156" s="78" t="s">
        <v>1214</v>
      </c>
      <c r="R1156" s="78" t="s">
        <v>1622</v>
      </c>
      <c r="S1156" s="78"/>
      <c r="T1156" s="78"/>
      <c r="U1156" s="78"/>
      <c r="V1156" s="78"/>
      <c r="W1156" s="81" t="s">
        <v>1674</v>
      </c>
      <c r="X1156" s="81" t="s">
        <v>1674</v>
      </c>
      <c r="Y1156" s="78"/>
      <c r="Z1156" s="78"/>
      <c r="AA1156" s="81" t="s">
        <v>1674</v>
      </c>
      <c r="AB1156" s="79">
        <v>1</v>
      </c>
      <c r="AC1156" s="80" t="str">
        <f>REPLACE(INDEX(GroupVertices[Group],MATCH("~"&amp;Edges[[#This Row],[Vertex 1]],GroupVertices[Vertex],0)),1,1,"")</f>
        <v>3</v>
      </c>
      <c r="AD1156" s="80" t="str">
        <f>REPLACE(INDEX(GroupVertices[Group],MATCH("~"&amp;Edges[[#This Row],[Vertex 2]],GroupVertices[Vertex],0)),1,1,"")</f>
        <v>1</v>
      </c>
      <c r="AE1156" s="105"/>
      <c r="AF1156" s="105"/>
      <c r="AG1156" s="105"/>
      <c r="AH1156" s="105"/>
      <c r="AI1156" s="105"/>
      <c r="AJ1156" s="105"/>
      <c r="AK1156" s="105"/>
      <c r="AL1156" s="105"/>
      <c r="AM1156" s="105"/>
    </row>
    <row r="1157" spans="1:39" ht="15">
      <c r="A1157" s="62" t="s">
        <v>246</v>
      </c>
      <c r="B1157" s="62" t="s">
        <v>251</v>
      </c>
      <c r="C1157" s="63" t="s">
        <v>3598</v>
      </c>
      <c r="D1157" s="64">
        <v>5</v>
      </c>
      <c r="E1157" s="65" t="s">
        <v>132</v>
      </c>
      <c r="F1157" s="66">
        <v>32</v>
      </c>
      <c r="G1157" s="63"/>
      <c r="H1157" s="67"/>
      <c r="I1157" s="68"/>
      <c r="J1157" s="68"/>
      <c r="K1157" s="31" t="s">
        <v>65</v>
      </c>
      <c r="L1157" s="76">
        <v>1157</v>
      </c>
      <c r="M1157" s="76"/>
      <c r="N1157" s="70"/>
      <c r="O1157" s="78" t="s">
        <v>305</v>
      </c>
      <c r="P1157" s="78" t="s">
        <v>626</v>
      </c>
      <c r="Q1157" s="78" t="s">
        <v>1215</v>
      </c>
      <c r="R1157" s="78" t="s">
        <v>1623</v>
      </c>
      <c r="S1157" s="78"/>
      <c r="T1157" s="78"/>
      <c r="U1157" s="78"/>
      <c r="V1157" s="78"/>
      <c r="W1157" s="81" t="s">
        <v>1674</v>
      </c>
      <c r="X1157" s="81" t="s">
        <v>1674</v>
      </c>
      <c r="Y1157" s="78"/>
      <c r="Z1157" s="78"/>
      <c r="AA1157" s="81" t="s">
        <v>1674</v>
      </c>
      <c r="AB1157" s="79">
        <v>1</v>
      </c>
      <c r="AC1157" s="80" t="str">
        <f>REPLACE(INDEX(GroupVertices[Group],MATCH("~"&amp;Edges[[#This Row],[Vertex 1]],GroupVertices[Vertex],0)),1,1,"")</f>
        <v>3</v>
      </c>
      <c r="AD1157" s="80" t="str">
        <f>REPLACE(INDEX(GroupVertices[Group],MATCH("~"&amp;Edges[[#This Row],[Vertex 2]],GroupVertices[Vertex],0)),1,1,"")</f>
        <v>3</v>
      </c>
      <c r="AE1157" s="105"/>
      <c r="AF1157" s="105"/>
      <c r="AG1157" s="105"/>
      <c r="AH1157" s="105"/>
      <c r="AI1157" s="105"/>
      <c r="AJ1157" s="105"/>
      <c r="AK1157" s="105"/>
      <c r="AL1157" s="105"/>
      <c r="AM1157" s="105"/>
    </row>
    <row r="1158" spans="1:39" ht="15">
      <c r="A1158" s="62" t="s">
        <v>263</v>
      </c>
      <c r="B1158" s="62" t="s">
        <v>251</v>
      </c>
      <c r="C1158" s="63" t="s">
        <v>3598</v>
      </c>
      <c r="D1158" s="64">
        <v>5</v>
      </c>
      <c r="E1158" s="65" t="s">
        <v>132</v>
      </c>
      <c r="F1158" s="66">
        <v>32</v>
      </c>
      <c r="G1158" s="63"/>
      <c r="H1158" s="67"/>
      <c r="I1158" s="68"/>
      <c r="J1158" s="68"/>
      <c r="K1158" s="31" t="s">
        <v>65</v>
      </c>
      <c r="L1158" s="76">
        <v>1158</v>
      </c>
      <c r="M1158" s="76"/>
      <c r="N1158" s="70"/>
      <c r="O1158" s="78" t="s">
        <v>305</v>
      </c>
      <c r="P1158" s="78" t="s">
        <v>626</v>
      </c>
      <c r="Q1158" s="78" t="s">
        <v>1216</v>
      </c>
      <c r="R1158" s="78" t="s">
        <v>1623</v>
      </c>
      <c r="S1158" s="78"/>
      <c r="T1158" s="78"/>
      <c r="U1158" s="78"/>
      <c r="V1158" s="78"/>
      <c r="W1158" s="81" t="s">
        <v>1674</v>
      </c>
      <c r="X1158" s="81" t="s">
        <v>1674</v>
      </c>
      <c r="Y1158" s="78"/>
      <c r="Z1158" s="78"/>
      <c r="AA1158" s="81" t="s">
        <v>1674</v>
      </c>
      <c r="AB1158" s="79">
        <v>1</v>
      </c>
      <c r="AC1158" s="80" t="str">
        <f>REPLACE(INDEX(GroupVertices[Group],MATCH("~"&amp;Edges[[#This Row],[Vertex 1]],GroupVertices[Vertex],0)),1,1,"")</f>
        <v>3</v>
      </c>
      <c r="AD1158" s="80" t="str">
        <f>REPLACE(INDEX(GroupVertices[Group],MATCH("~"&amp;Edges[[#This Row],[Vertex 2]],GroupVertices[Vertex],0)),1,1,"")</f>
        <v>3</v>
      </c>
      <c r="AE1158" s="105"/>
      <c r="AF1158" s="105"/>
      <c r="AG1158" s="105"/>
      <c r="AH1158" s="105"/>
      <c r="AI1158" s="105"/>
      <c r="AJ1158" s="105"/>
      <c r="AK1158" s="105"/>
      <c r="AL1158" s="105"/>
      <c r="AM1158" s="105"/>
    </row>
    <row r="1159" spans="1:39" ht="15">
      <c r="A1159" s="62" t="s">
        <v>290</v>
      </c>
      <c r="B1159" s="62" t="s">
        <v>251</v>
      </c>
      <c r="C1159" s="63" t="s">
        <v>3598</v>
      </c>
      <c r="D1159" s="64">
        <v>5</v>
      </c>
      <c r="E1159" s="65" t="s">
        <v>132</v>
      </c>
      <c r="F1159" s="66">
        <v>32</v>
      </c>
      <c r="G1159" s="63"/>
      <c r="H1159" s="67"/>
      <c r="I1159" s="68"/>
      <c r="J1159" s="68"/>
      <c r="K1159" s="31" t="s">
        <v>65</v>
      </c>
      <c r="L1159" s="76">
        <v>1159</v>
      </c>
      <c r="M1159" s="76"/>
      <c r="N1159" s="70"/>
      <c r="O1159" s="78" t="s">
        <v>305</v>
      </c>
      <c r="P1159" s="78" t="s">
        <v>626</v>
      </c>
      <c r="Q1159" s="78" t="s">
        <v>1217</v>
      </c>
      <c r="R1159" s="78" t="s">
        <v>1623</v>
      </c>
      <c r="S1159" s="78"/>
      <c r="T1159" s="78"/>
      <c r="U1159" s="78"/>
      <c r="V1159" s="78"/>
      <c r="W1159" s="81" t="s">
        <v>1674</v>
      </c>
      <c r="X1159" s="81" t="s">
        <v>1674</v>
      </c>
      <c r="Y1159" s="78"/>
      <c r="Z1159" s="78"/>
      <c r="AA1159" s="81" t="s">
        <v>1674</v>
      </c>
      <c r="AB1159" s="79">
        <v>1</v>
      </c>
      <c r="AC1159" s="80" t="str">
        <f>REPLACE(INDEX(GroupVertices[Group],MATCH("~"&amp;Edges[[#This Row],[Vertex 1]],GroupVertices[Vertex],0)),1,1,"")</f>
        <v>3</v>
      </c>
      <c r="AD1159" s="80" t="str">
        <f>REPLACE(INDEX(GroupVertices[Group],MATCH("~"&amp;Edges[[#This Row],[Vertex 2]],GroupVertices[Vertex],0)),1,1,"")</f>
        <v>3</v>
      </c>
      <c r="AE1159" s="105"/>
      <c r="AF1159" s="105"/>
      <c r="AG1159" s="105"/>
      <c r="AH1159" s="105"/>
      <c r="AI1159" s="105"/>
      <c r="AJ1159" s="105"/>
      <c r="AK1159" s="105"/>
      <c r="AL1159" s="105"/>
      <c r="AM1159" s="105"/>
    </row>
    <row r="1160" spans="1:39" ht="15">
      <c r="A1160" s="62" t="s">
        <v>284</v>
      </c>
      <c r="B1160" s="62" t="s">
        <v>251</v>
      </c>
      <c r="C1160" s="63" t="s">
        <v>3598</v>
      </c>
      <c r="D1160" s="64">
        <v>5</v>
      </c>
      <c r="E1160" s="65" t="s">
        <v>132</v>
      </c>
      <c r="F1160" s="66">
        <v>32</v>
      </c>
      <c r="G1160" s="63"/>
      <c r="H1160" s="67"/>
      <c r="I1160" s="68"/>
      <c r="J1160" s="68"/>
      <c r="K1160" s="31" t="s">
        <v>65</v>
      </c>
      <c r="L1160" s="76">
        <v>1160</v>
      </c>
      <c r="M1160" s="76"/>
      <c r="N1160" s="70"/>
      <c r="O1160" s="78" t="s">
        <v>305</v>
      </c>
      <c r="P1160" s="78" t="s">
        <v>626</v>
      </c>
      <c r="Q1160" s="78" t="s">
        <v>1218</v>
      </c>
      <c r="R1160" s="78" t="s">
        <v>1623</v>
      </c>
      <c r="S1160" s="78"/>
      <c r="T1160" s="78"/>
      <c r="U1160" s="78"/>
      <c r="V1160" s="78"/>
      <c r="W1160" s="81" t="s">
        <v>1674</v>
      </c>
      <c r="X1160" s="81" t="s">
        <v>1674</v>
      </c>
      <c r="Y1160" s="78"/>
      <c r="Z1160" s="78"/>
      <c r="AA1160" s="81" t="s">
        <v>1674</v>
      </c>
      <c r="AB1160" s="79">
        <v>1</v>
      </c>
      <c r="AC1160" s="80" t="str">
        <f>REPLACE(INDEX(GroupVertices[Group],MATCH("~"&amp;Edges[[#This Row],[Vertex 1]],GroupVertices[Vertex],0)),1,1,"")</f>
        <v>1</v>
      </c>
      <c r="AD1160" s="80" t="str">
        <f>REPLACE(INDEX(GroupVertices[Group],MATCH("~"&amp;Edges[[#This Row],[Vertex 2]],GroupVertices[Vertex],0)),1,1,"")</f>
        <v>3</v>
      </c>
      <c r="AE1160" s="105"/>
      <c r="AF1160" s="105"/>
      <c r="AG1160" s="105"/>
      <c r="AH1160" s="105"/>
      <c r="AI1160" s="105"/>
      <c r="AJ1160" s="105"/>
      <c r="AK1160" s="105"/>
      <c r="AL1160" s="105"/>
      <c r="AM1160" s="105"/>
    </row>
    <row r="1161" spans="1:39" ht="15">
      <c r="A1161" s="62" t="s">
        <v>286</v>
      </c>
      <c r="B1161" s="62" t="s">
        <v>251</v>
      </c>
      <c r="C1161" s="63" t="s">
        <v>3598</v>
      </c>
      <c r="D1161" s="64">
        <v>5</v>
      </c>
      <c r="E1161" s="65" t="s">
        <v>132</v>
      </c>
      <c r="F1161" s="66">
        <v>32</v>
      </c>
      <c r="G1161" s="63"/>
      <c r="H1161" s="67"/>
      <c r="I1161" s="68"/>
      <c r="J1161" s="68"/>
      <c r="K1161" s="31" t="s">
        <v>65</v>
      </c>
      <c r="L1161" s="76">
        <v>1161</v>
      </c>
      <c r="M1161" s="76"/>
      <c r="N1161" s="70"/>
      <c r="O1161" s="78" t="s">
        <v>305</v>
      </c>
      <c r="P1161" s="78" t="s">
        <v>567</v>
      </c>
      <c r="Q1161" s="78" t="s">
        <v>1108</v>
      </c>
      <c r="R1161" s="78" t="s">
        <v>1554</v>
      </c>
      <c r="S1161" s="78"/>
      <c r="T1161" s="78"/>
      <c r="U1161" s="78"/>
      <c r="V1161" s="78"/>
      <c r="W1161" s="81" t="s">
        <v>1674</v>
      </c>
      <c r="X1161" s="81" t="s">
        <v>1674</v>
      </c>
      <c r="Y1161" s="78"/>
      <c r="Z1161" s="78"/>
      <c r="AA1161" s="81" t="s">
        <v>1674</v>
      </c>
      <c r="AB1161" s="79">
        <v>1</v>
      </c>
      <c r="AC1161" s="80" t="str">
        <f>REPLACE(INDEX(GroupVertices[Group],MATCH("~"&amp;Edges[[#This Row],[Vertex 1]],GroupVertices[Vertex],0)),1,1,"")</f>
        <v>3</v>
      </c>
      <c r="AD1161" s="80" t="str">
        <f>REPLACE(INDEX(GroupVertices[Group],MATCH("~"&amp;Edges[[#This Row],[Vertex 2]],GroupVertices[Vertex],0)),1,1,"")</f>
        <v>3</v>
      </c>
      <c r="AE1161" s="105"/>
      <c r="AF1161" s="105"/>
      <c r="AG1161" s="105"/>
      <c r="AH1161" s="105"/>
      <c r="AI1161" s="105"/>
      <c r="AJ1161" s="105"/>
      <c r="AK1161" s="105"/>
      <c r="AL1161" s="105"/>
      <c r="AM1161" s="105"/>
    </row>
    <row r="1162" spans="1:39" ht="15">
      <c r="A1162" s="62" t="s">
        <v>289</v>
      </c>
      <c r="B1162" s="62" t="s">
        <v>251</v>
      </c>
      <c r="C1162" s="63" t="s">
        <v>3598</v>
      </c>
      <c r="D1162" s="64">
        <v>5.2631578947368425</v>
      </c>
      <c r="E1162" s="65" t="s">
        <v>136</v>
      </c>
      <c r="F1162" s="66">
        <v>31.50943396226415</v>
      </c>
      <c r="G1162" s="63"/>
      <c r="H1162" s="67"/>
      <c r="I1162" s="68"/>
      <c r="J1162" s="68"/>
      <c r="K1162" s="31" t="s">
        <v>65</v>
      </c>
      <c r="L1162" s="76">
        <v>1162</v>
      </c>
      <c r="M1162" s="76"/>
      <c r="N1162" s="70"/>
      <c r="O1162" s="78" t="s">
        <v>305</v>
      </c>
      <c r="P1162" s="78" t="s">
        <v>626</v>
      </c>
      <c r="Q1162" s="78" t="s">
        <v>1219</v>
      </c>
      <c r="R1162" s="78" t="s">
        <v>1623</v>
      </c>
      <c r="S1162" s="78"/>
      <c r="T1162" s="78"/>
      <c r="U1162" s="78"/>
      <c r="V1162" s="78"/>
      <c r="W1162" s="81" t="s">
        <v>1674</v>
      </c>
      <c r="X1162" s="81" t="s">
        <v>1674</v>
      </c>
      <c r="Y1162" s="78"/>
      <c r="Z1162" s="78"/>
      <c r="AA1162" s="81" t="s">
        <v>1674</v>
      </c>
      <c r="AB1162" s="79">
        <v>2</v>
      </c>
      <c r="AC1162" s="80" t="str">
        <f>REPLACE(INDEX(GroupVertices[Group],MATCH("~"&amp;Edges[[#This Row],[Vertex 1]],GroupVertices[Vertex],0)),1,1,"")</f>
        <v>3</v>
      </c>
      <c r="AD1162" s="80" t="str">
        <f>REPLACE(INDEX(GroupVertices[Group],MATCH("~"&amp;Edges[[#This Row],[Vertex 2]],GroupVertices[Vertex],0)),1,1,"")</f>
        <v>3</v>
      </c>
      <c r="AE1162" s="105"/>
      <c r="AF1162" s="105"/>
      <c r="AG1162" s="105"/>
      <c r="AH1162" s="105"/>
      <c r="AI1162" s="105"/>
      <c r="AJ1162" s="105"/>
      <c r="AK1162" s="105"/>
      <c r="AL1162" s="105"/>
      <c r="AM1162" s="105"/>
    </row>
    <row r="1163" spans="1:39" ht="15">
      <c r="A1163" s="62" t="s">
        <v>289</v>
      </c>
      <c r="B1163" s="62" t="s">
        <v>251</v>
      </c>
      <c r="C1163" s="63" t="s">
        <v>3598</v>
      </c>
      <c r="D1163" s="64">
        <v>5.2631578947368425</v>
      </c>
      <c r="E1163" s="65" t="s">
        <v>136</v>
      </c>
      <c r="F1163" s="66">
        <v>31.50943396226415</v>
      </c>
      <c r="G1163" s="63"/>
      <c r="H1163" s="67"/>
      <c r="I1163" s="68"/>
      <c r="J1163" s="68"/>
      <c r="K1163" s="31" t="s">
        <v>65</v>
      </c>
      <c r="L1163" s="76">
        <v>1163</v>
      </c>
      <c r="M1163" s="76"/>
      <c r="N1163" s="70"/>
      <c r="O1163" s="78" t="s">
        <v>305</v>
      </c>
      <c r="P1163" s="78" t="s">
        <v>626</v>
      </c>
      <c r="Q1163" s="78" t="s">
        <v>1220</v>
      </c>
      <c r="R1163" s="78" t="s">
        <v>1623</v>
      </c>
      <c r="S1163" s="78"/>
      <c r="T1163" s="78"/>
      <c r="U1163" s="78"/>
      <c r="V1163" s="78"/>
      <c r="W1163" s="81" t="s">
        <v>1674</v>
      </c>
      <c r="X1163" s="81" t="s">
        <v>1674</v>
      </c>
      <c r="Y1163" s="78"/>
      <c r="Z1163" s="78"/>
      <c r="AA1163" s="81" t="s">
        <v>1674</v>
      </c>
      <c r="AB1163" s="79">
        <v>2</v>
      </c>
      <c r="AC1163" s="80" t="str">
        <f>REPLACE(INDEX(GroupVertices[Group],MATCH("~"&amp;Edges[[#This Row],[Vertex 1]],GroupVertices[Vertex],0)),1,1,"")</f>
        <v>3</v>
      </c>
      <c r="AD1163" s="80" t="str">
        <f>REPLACE(INDEX(GroupVertices[Group],MATCH("~"&amp;Edges[[#This Row],[Vertex 2]],GroupVertices[Vertex],0)),1,1,"")</f>
        <v>3</v>
      </c>
      <c r="AE1163" s="105"/>
      <c r="AF1163" s="105"/>
      <c r="AG1163" s="105"/>
      <c r="AH1163" s="105"/>
      <c r="AI1163" s="105"/>
      <c r="AJ1163" s="105"/>
      <c r="AK1163" s="105"/>
      <c r="AL1163" s="105"/>
      <c r="AM1163" s="105"/>
    </row>
    <row r="1164" spans="1:39" ht="15">
      <c r="A1164" s="62" t="s">
        <v>246</v>
      </c>
      <c r="B1164" s="62" t="s">
        <v>245</v>
      </c>
      <c r="C1164" s="63" t="s">
        <v>3598</v>
      </c>
      <c r="D1164" s="64">
        <v>5</v>
      </c>
      <c r="E1164" s="65" t="s">
        <v>132</v>
      </c>
      <c r="F1164" s="66">
        <v>32</v>
      </c>
      <c r="G1164" s="63"/>
      <c r="H1164" s="67"/>
      <c r="I1164" s="68"/>
      <c r="J1164" s="68"/>
      <c r="K1164" s="31" t="s">
        <v>65</v>
      </c>
      <c r="L1164" s="76">
        <v>1164</v>
      </c>
      <c r="M1164" s="76"/>
      <c r="N1164" s="70"/>
      <c r="O1164" s="78" t="s">
        <v>305</v>
      </c>
      <c r="P1164" s="78" t="s">
        <v>625</v>
      </c>
      <c r="Q1164" s="78" t="s">
        <v>1212</v>
      </c>
      <c r="R1164" s="78" t="s">
        <v>1211</v>
      </c>
      <c r="S1164" s="78"/>
      <c r="T1164" s="78"/>
      <c r="U1164" s="78"/>
      <c r="V1164" s="78"/>
      <c r="W1164" s="81" t="s">
        <v>1674</v>
      </c>
      <c r="X1164" s="81" t="s">
        <v>1674</v>
      </c>
      <c r="Y1164" s="78"/>
      <c r="Z1164" s="78"/>
      <c r="AA1164" s="81" t="s">
        <v>1674</v>
      </c>
      <c r="AB1164" s="79">
        <v>1</v>
      </c>
      <c r="AC1164" s="80" t="str">
        <f>REPLACE(INDEX(GroupVertices[Group],MATCH("~"&amp;Edges[[#This Row],[Vertex 1]],GroupVertices[Vertex],0)),1,1,"")</f>
        <v>3</v>
      </c>
      <c r="AD1164" s="80" t="str">
        <f>REPLACE(INDEX(GroupVertices[Group],MATCH("~"&amp;Edges[[#This Row],[Vertex 2]],GroupVertices[Vertex],0)),1,1,"")</f>
        <v>1</v>
      </c>
      <c r="AE1164" s="105"/>
      <c r="AF1164" s="105"/>
      <c r="AG1164" s="105"/>
      <c r="AH1164" s="105"/>
      <c r="AI1164" s="105"/>
      <c r="AJ1164" s="105"/>
      <c r="AK1164" s="105"/>
      <c r="AL1164" s="105"/>
      <c r="AM1164" s="105"/>
    </row>
    <row r="1165" spans="1:39" ht="15">
      <c r="A1165" s="62" t="s">
        <v>247</v>
      </c>
      <c r="B1165" s="62" t="s">
        <v>245</v>
      </c>
      <c r="C1165" s="63" t="s">
        <v>3603</v>
      </c>
      <c r="D1165" s="64">
        <v>5.7894736842105265</v>
      </c>
      <c r="E1165" s="65" t="s">
        <v>136</v>
      </c>
      <c r="F1165" s="66">
        <v>30.528301886792452</v>
      </c>
      <c r="G1165" s="63"/>
      <c r="H1165" s="67"/>
      <c r="I1165" s="68"/>
      <c r="J1165" s="68"/>
      <c r="K1165" s="31" t="s">
        <v>65</v>
      </c>
      <c r="L1165" s="76">
        <v>1165</v>
      </c>
      <c r="M1165" s="76"/>
      <c r="N1165" s="70"/>
      <c r="O1165" s="78" t="s">
        <v>305</v>
      </c>
      <c r="P1165" s="78" t="s">
        <v>627</v>
      </c>
      <c r="Q1165" s="78" t="s">
        <v>1221</v>
      </c>
      <c r="R1165" s="78" t="s">
        <v>1624</v>
      </c>
      <c r="S1165" s="78"/>
      <c r="T1165" s="78"/>
      <c r="U1165" s="78"/>
      <c r="V1165" s="78"/>
      <c r="W1165" s="81" t="s">
        <v>1674</v>
      </c>
      <c r="X1165" s="81" t="s">
        <v>1674</v>
      </c>
      <c r="Y1165" s="78"/>
      <c r="Z1165" s="78"/>
      <c r="AA1165" s="81" t="s">
        <v>1674</v>
      </c>
      <c r="AB1165" s="79">
        <v>4</v>
      </c>
      <c r="AC1165" s="80" t="str">
        <f>REPLACE(INDEX(GroupVertices[Group],MATCH("~"&amp;Edges[[#This Row],[Vertex 1]],GroupVertices[Vertex],0)),1,1,"")</f>
        <v>2</v>
      </c>
      <c r="AD1165" s="80" t="str">
        <f>REPLACE(INDEX(GroupVertices[Group],MATCH("~"&amp;Edges[[#This Row],[Vertex 2]],GroupVertices[Vertex],0)),1,1,"")</f>
        <v>1</v>
      </c>
      <c r="AE1165" s="105"/>
      <c r="AF1165" s="105"/>
      <c r="AG1165" s="105"/>
      <c r="AH1165" s="105"/>
      <c r="AI1165" s="105"/>
      <c r="AJ1165" s="105"/>
      <c r="AK1165" s="105"/>
      <c r="AL1165" s="105"/>
      <c r="AM1165" s="105"/>
    </row>
    <row r="1166" spans="1:39" ht="15">
      <c r="A1166" s="62" t="s">
        <v>247</v>
      </c>
      <c r="B1166" s="62" t="s">
        <v>245</v>
      </c>
      <c r="C1166" s="63" t="s">
        <v>3603</v>
      </c>
      <c r="D1166" s="64">
        <v>5.7894736842105265</v>
      </c>
      <c r="E1166" s="65" t="s">
        <v>136</v>
      </c>
      <c r="F1166" s="66">
        <v>30.528301886792452</v>
      </c>
      <c r="G1166" s="63"/>
      <c r="H1166" s="67"/>
      <c r="I1166" s="68"/>
      <c r="J1166" s="68"/>
      <c r="K1166" s="31" t="s">
        <v>65</v>
      </c>
      <c r="L1166" s="76">
        <v>1166</v>
      </c>
      <c r="M1166" s="76"/>
      <c r="N1166" s="70"/>
      <c r="O1166" s="78" t="s">
        <v>305</v>
      </c>
      <c r="P1166" s="78" t="s">
        <v>627</v>
      </c>
      <c r="Q1166" s="78" t="s">
        <v>1221</v>
      </c>
      <c r="R1166" s="78" t="s">
        <v>1625</v>
      </c>
      <c r="S1166" s="78"/>
      <c r="T1166" s="78"/>
      <c r="U1166" s="78"/>
      <c r="V1166" s="78"/>
      <c r="W1166" s="81" t="s">
        <v>1674</v>
      </c>
      <c r="X1166" s="81" t="s">
        <v>1674</v>
      </c>
      <c r="Y1166" s="78"/>
      <c r="Z1166" s="78"/>
      <c r="AA1166" s="81" t="s">
        <v>1674</v>
      </c>
      <c r="AB1166" s="79">
        <v>4</v>
      </c>
      <c r="AC1166" s="80" t="str">
        <f>REPLACE(INDEX(GroupVertices[Group],MATCH("~"&amp;Edges[[#This Row],[Vertex 1]],GroupVertices[Vertex],0)),1,1,"")</f>
        <v>2</v>
      </c>
      <c r="AD1166" s="80" t="str">
        <f>REPLACE(INDEX(GroupVertices[Group],MATCH("~"&amp;Edges[[#This Row],[Vertex 2]],GroupVertices[Vertex],0)),1,1,"")</f>
        <v>1</v>
      </c>
      <c r="AE1166" s="105"/>
      <c r="AF1166" s="105"/>
      <c r="AG1166" s="105"/>
      <c r="AH1166" s="105"/>
      <c r="AI1166" s="105"/>
      <c r="AJ1166" s="105"/>
      <c r="AK1166" s="105"/>
      <c r="AL1166" s="105"/>
      <c r="AM1166" s="105"/>
    </row>
    <row r="1167" spans="1:39" ht="15">
      <c r="A1167" s="62" t="s">
        <v>247</v>
      </c>
      <c r="B1167" s="62" t="s">
        <v>245</v>
      </c>
      <c r="C1167" s="63" t="s">
        <v>3603</v>
      </c>
      <c r="D1167" s="64">
        <v>5.7894736842105265</v>
      </c>
      <c r="E1167" s="65" t="s">
        <v>136</v>
      </c>
      <c r="F1167" s="66">
        <v>30.528301886792452</v>
      </c>
      <c r="G1167" s="63"/>
      <c r="H1167" s="67"/>
      <c r="I1167" s="68"/>
      <c r="J1167" s="68"/>
      <c r="K1167" s="31" t="s">
        <v>65</v>
      </c>
      <c r="L1167" s="76">
        <v>1167</v>
      </c>
      <c r="M1167" s="76"/>
      <c r="N1167" s="70"/>
      <c r="O1167" s="78" t="s">
        <v>305</v>
      </c>
      <c r="P1167" s="78" t="s">
        <v>627</v>
      </c>
      <c r="Q1167" s="78" t="s">
        <v>1221</v>
      </c>
      <c r="R1167" s="78" t="s">
        <v>1626</v>
      </c>
      <c r="S1167" s="78"/>
      <c r="T1167" s="78"/>
      <c r="U1167" s="78"/>
      <c r="V1167" s="78"/>
      <c r="W1167" s="81" t="s">
        <v>1674</v>
      </c>
      <c r="X1167" s="81" t="s">
        <v>1674</v>
      </c>
      <c r="Y1167" s="78"/>
      <c r="Z1167" s="78"/>
      <c r="AA1167" s="81" t="s">
        <v>1674</v>
      </c>
      <c r="AB1167" s="79">
        <v>4</v>
      </c>
      <c r="AC1167" s="80" t="str">
        <f>REPLACE(INDEX(GroupVertices[Group],MATCH("~"&amp;Edges[[#This Row],[Vertex 1]],GroupVertices[Vertex],0)),1,1,"")</f>
        <v>2</v>
      </c>
      <c r="AD1167" s="80" t="str">
        <f>REPLACE(INDEX(GroupVertices[Group],MATCH("~"&amp;Edges[[#This Row],[Vertex 2]],GroupVertices[Vertex],0)),1,1,"")</f>
        <v>1</v>
      </c>
      <c r="AE1167" s="105"/>
      <c r="AF1167" s="105"/>
      <c r="AG1167" s="105"/>
      <c r="AH1167" s="105"/>
      <c r="AI1167" s="105"/>
      <c r="AJ1167" s="105"/>
      <c r="AK1167" s="105"/>
      <c r="AL1167" s="105"/>
      <c r="AM1167" s="105"/>
    </row>
    <row r="1168" spans="1:39" ht="15">
      <c r="A1168" s="62" t="s">
        <v>247</v>
      </c>
      <c r="B1168" s="62" t="s">
        <v>245</v>
      </c>
      <c r="C1168" s="63" t="s">
        <v>3603</v>
      </c>
      <c r="D1168" s="64">
        <v>5.7894736842105265</v>
      </c>
      <c r="E1168" s="65" t="s">
        <v>136</v>
      </c>
      <c r="F1168" s="66">
        <v>30.528301886792452</v>
      </c>
      <c r="G1168" s="63"/>
      <c r="H1168" s="67"/>
      <c r="I1168" s="68"/>
      <c r="J1168" s="68"/>
      <c r="K1168" s="31" t="s">
        <v>65</v>
      </c>
      <c r="L1168" s="76">
        <v>1168</v>
      </c>
      <c r="M1168" s="76"/>
      <c r="N1168" s="70"/>
      <c r="O1168" s="78" t="s">
        <v>305</v>
      </c>
      <c r="P1168" s="78" t="s">
        <v>627</v>
      </c>
      <c r="Q1168" s="78" t="s">
        <v>1221</v>
      </c>
      <c r="R1168" s="78" t="s">
        <v>1627</v>
      </c>
      <c r="S1168" s="78"/>
      <c r="T1168" s="78"/>
      <c r="U1168" s="78"/>
      <c r="V1168" s="78"/>
      <c r="W1168" s="81" t="s">
        <v>1674</v>
      </c>
      <c r="X1168" s="81" t="s">
        <v>1674</v>
      </c>
      <c r="Y1168" s="78"/>
      <c r="Z1168" s="78"/>
      <c r="AA1168" s="81" t="s">
        <v>1674</v>
      </c>
      <c r="AB1168" s="79">
        <v>4</v>
      </c>
      <c r="AC1168" s="80" t="str">
        <f>REPLACE(INDEX(GroupVertices[Group],MATCH("~"&amp;Edges[[#This Row],[Vertex 1]],GroupVertices[Vertex],0)),1,1,"")</f>
        <v>2</v>
      </c>
      <c r="AD1168" s="80" t="str">
        <f>REPLACE(INDEX(GroupVertices[Group],MATCH("~"&amp;Edges[[#This Row],[Vertex 2]],GroupVertices[Vertex],0)),1,1,"")</f>
        <v>1</v>
      </c>
      <c r="AE1168" s="105"/>
      <c r="AF1168" s="105"/>
      <c r="AG1168" s="105"/>
      <c r="AH1168" s="105"/>
      <c r="AI1168" s="105"/>
      <c r="AJ1168" s="105"/>
      <c r="AK1168" s="105"/>
      <c r="AL1168" s="105"/>
      <c r="AM1168" s="105"/>
    </row>
    <row r="1169" spans="1:39" ht="15">
      <c r="A1169" s="62" t="s">
        <v>266</v>
      </c>
      <c r="B1169" s="62" t="s">
        <v>245</v>
      </c>
      <c r="C1169" s="63" t="s">
        <v>3598</v>
      </c>
      <c r="D1169" s="64">
        <v>5.2631578947368425</v>
      </c>
      <c r="E1169" s="65" t="s">
        <v>136</v>
      </c>
      <c r="F1169" s="66">
        <v>31.50943396226415</v>
      </c>
      <c r="G1169" s="63"/>
      <c r="H1169" s="67"/>
      <c r="I1169" s="68"/>
      <c r="J1169" s="68"/>
      <c r="K1169" s="31" t="s">
        <v>65</v>
      </c>
      <c r="L1169" s="76">
        <v>1169</v>
      </c>
      <c r="M1169" s="76"/>
      <c r="N1169" s="70"/>
      <c r="O1169" s="78" t="s">
        <v>305</v>
      </c>
      <c r="P1169" s="78" t="s">
        <v>628</v>
      </c>
      <c r="Q1169" s="78" t="s">
        <v>1222</v>
      </c>
      <c r="R1169" s="78" t="s">
        <v>1628</v>
      </c>
      <c r="S1169" s="78"/>
      <c r="T1169" s="78"/>
      <c r="U1169" s="78"/>
      <c r="V1169" s="78"/>
      <c r="W1169" s="81" t="s">
        <v>1674</v>
      </c>
      <c r="X1169" s="81" t="s">
        <v>1674</v>
      </c>
      <c r="Y1169" s="78"/>
      <c r="Z1169" s="78"/>
      <c r="AA1169" s="81" t="s">
        <v>1674</v>
      </c>
      <c r="AB1169" s="79">
        <v>2</v>
      </c>
      <c r="AC1169" s="80" t="str">
        <f>REPLACE(INDEX(GroupVertices[Group],MATCH("~"&amp;Edges[[#This Row],[Vertex 1]],GroupVertices[Vertex],0)),1,1,"")</f>
        <v>1</v>
      </c>
      <c r="AD1169" s="80" t="str">
        <f>REPLACE(INDEX(GroupVertices[Group],MATCH("~"&amp;Edges[[#This Row],[Vertex 2]],GroupVertices[Vertex],0)),1,1,"")</f>
        <v>1</v>
      </c>
      <c r="AE1169" s="105"/>
      <c r="AF1169" s="105"/>
      <c r="AG1169" s="105"/>
      <c r="AH1169" s="105"/>
      <c r="AI1169" s="105"/>
      <c r="AJ1169" s="105"/>
      <c r="AK1169" s="105"/>
      <c r="AL1169" s="105"/>
      <c r="AM1169" s="105"/>
    </row>
    <row r="1170" spans="1:39" ht="15">
      <c r="A1170" s="62" t="s">
        <v>266</v>
      </c>
      <c r="B1170" s="62" t="s">
        <v>245</v>
      </c>
      <c r="C1170" s="63" t="s">
        <v>3598</v>
      </c>
      <c r="D1170" s="64">
        <v>5.2631578947368425</v>
      </c>
      <c r="E1170" s="65" t="s">
        <v>136</v>
      </c>
      <c r="F1170" s="66">
        <v>31.50943396226415</v>
      </c>
      <c r="G1170" s="63"/>
      <c r="H1170" s="67"/>
      <c r="I1170" s="68"/>
      <c r="J1170" s="68"/>
      <c r="K1170" s="31" t="s">
        <v>65</v>
      </c>
      <c r="L1170" s="76">
        <v>1170</v>
      </c>
      <c r="M1170" s="76"/>
      <c r="N1170" s="70"/>
      <c r="O1170" s="78" t="s">
        <v>305</v>
      </c>
      <c r="P1170" s="78" t="s">
        <v>499</v>
      </c>
      <c r="Q1170" s="78" t="s">
        <v>1001</v>
      </c>
      <c r="R1170" s="78" t="s">
        <v>1474</v>
      </c>
      <c r="S1170" s="78"/>
      <c r="T1170" s="78"/>
      <c r="U1170" s="78"/>
      <c r="V1170" s="78"/>
      <c r="W1170" s="81" t="s">
        <v>1674</v>
      </c>
      <c r="X1170" s="81" t="s">
        <v>1674</v>
      </c>
      <c r="Y1170" s="78"/>
      <c r="Z1170" s="78"/>
      <c r="AA1170" s="81" t="s">
        <v>1674</v>
      </c>
      <c r="AB1170" s="79">
        <v>2</v>
      </c>
      <c r="AC1170" s="80" t="str">
        <f>REPLACE(INDEX(GroupVertices[Group],MATCH("~"&amp;Edges[[#This Row],[Vertex 1]],GroupVertices[Vertex],0)),1,1,"")</f>
        <v>1</v>
      </c>
      <c r="AD1170" s="80" t="str">
        <f>REPLACE(INDEX(GroupVertices[Group],MATCH("~"&amp;Edges[[#This Row],[Vertex 2]],GroupVertices[Vertex],0)),1,1,"")</f>
        <v>1</v>
      </c>
      <c r="AE1170" s="105"/>
      <c r="AF1170" s="105"/>
      <c r="AG1170" s="105"/>
      <c r="AH1170" s="105"/>
      <c r="AI1170" s="105"/>
      <c r="AJ1170" s="105"/>
      <c r="AK1170" s="105"/>
      <c r="AL1170" s="105"/>
      <c r="AM1170" s="105"/>
    </row>
    <row r="1171" spans="1:39" ht="15">
      <c r="A1171" s="62" t="s">
        <v>277</v>
      </c>
      <c r="B1171" s="62" t="s">
        <v>245</v>
      </c>
      <c r="C1171" s="63" t="s">
        <v>3598</v>
      </c>
      <c r="D1171" s="64">
        <v>5</v>
      </c>
      <c r="E1171" s="65" t="s">
        <v>132</v>
      </c>
      <c r="F1171" s="66">
        <v>32</v>
      </c>
      <c r="G1171" s="63"/>
      <c r="H1171" s="67"/>
      <c r="I1171" s="68"/>
      <c r="J1171" s="68"/>
      <c r="K1171" s="31" t="s">
        <v>65</v>
      </c>
      <c r="L1171" s="76">
        <v>1171</v>
      </c>
      <c r="M1171" s="76"/>
      <c r="N1171" s="70"/>
      <c r="O1171" s="78" t="s">
        <v>305</v>
      </c>
      <c r="P1171" s="78" t="s">
        <v>625</v>
      </c>
      <c r="Q1171" s="78" t="s">
        <v>1213</v>
      </c>
      <c r="R1171" s="78" t="s">
        <v>1211</v>
      </c>
      <c r="S1171" s="78"/>
      <c r="T1171" s="78"/>
      <c r="U1171" s="78"/>
      <c r="V1171" s="78"/>
      <c r="W1171" s="81" t="s">
        <v>1674</v>
      </c>
      <c r="X1171" s="81" t="s">
        <v>1674</v>
      </c>
      <c r="Y1171" s="78"/>
      <c r="Z1171" s="78"/>
      <c r="AA1171" s="81" t="s">
        <v>1674</v>
      </c>
      <c r="AB1171" s="79">
        <v>1</v>
      </c>
      <c r="AC1171" s="80" t="str">
        <f>REPLACE(INDEX(GroupVertices[Group],MATCH("~"&amp;Edges[[#This Row],[Vertex 1]],GroupVertices[Vertex],0)),1,1,"")</f>
        <v>1</v>
      </c>
      <c r="AD1171" s="80" t="str">
        <f>REPLACE(INDEX(GroupVertices[Group],MATCH("~"&amp;Edges[[#This Row],[Vertex 2]],GroupVertices[Vertex],0)),1,1,"")</f>
        <v>1</v>
      </c>
      <c r="AE1171" s="105"/>
      <c r="AF1171" s="105"/>
      <c r="AG1171" s="105"/>
      <c r="AH1171" s="105"/>
      <c r="AI1171" s="105"/>
      <c r="AJ1171" s="105"/>
      <c r="AK1171" s="105"/>
      <c r="AL1171" s="105"/>
      <c r="AM1171" s="105"/>
    </row>
    <row r="1172" spans="1:39" ht="15">
      <c r="A1172" s="62" t="s">
        <v>280</v>
      </c>
      <c r="B1172" s="62" t="s">
        <v>245</v>
      </c>
      <c r="C1172" s="63" t="s">
        <v>3598</v>
      </c>
      <c r="D1172" s="64">
        <v>5.2631578947368425</v>
      </c>
      <c r="E1172" s="65" t="s">
        <v>136</v>
      </c>
      <c r="F1172" s="66">
        <v>31.50943396226415</v>
      </c>
      <c r="G1172" s="63"/>
      <c r="H1172" s="67"/>
      <c r="I1172" s="68"/>
      <c r="J1172" s="68"/>
      <c r="K1172" s="31" t="s">
        <v>65</v>
      </c>
      <c r="L1172" s="76">
        <v>1172</v>
      </c>
      <c r="M1172" s="76"/>
      <c r="N1172" s="70"/>
      <c r="O1172" s="78" t="s">
        <v>305</v>
      </c>
      <c r="P1172" s="78" t="s">
        <v>582</v>
      </c>
      <c r="Q1172" s="78" t="s">
        <v>1142</v>
      </c>
      <c r="R1172" s="78" t="s">
        <v>1137</v>
      </c>
      <c r="S1172" s="78"/>
      <c r="T1172" s="78"/>
      <c r="U1172" s="78"/>
      <c r="V1172" s="78"/>
      <c r="W1172" s="81" t="s">
        <v>1674</v>
      </c>
      <c r="X1172" s="81" t="s">
        <v>1674</v>
      </c>
      <c r="Y1172" s="78"/>
      <c r="Z1172" s="78"/>
      <c r="AA1172" s="81" t="s">
        <v>1674</v>
      </c>
      <c r="AB1172" s="79">
        <v>2</v>
      </c>
      <c r="AC1172" s="80" t="str">
        <f>REPLACE(INDEX(GroupVertices[Group],MATCH("~"&amp;Edges[[#This Row],[Vertex 1]],GroupVertices[Vertex],0)),1,1,"")</f>
        <v>3</v>
      </c>
      <c r="AD1172" s="80" t="str">
        <f>REPLACE(INDEX(GroupVertices[Group],MATCH("~"&amp;Edges[[#This Row],[Vertex 2]],GroupVertices[Vertex],0)),1,1,"")</f>
        <v>1</v>
      </c>
      <c r="AE1172" s="105"/>
      <c r="AF1172" s="105"/>
      <c r="AG1172" s="105"/>
      <c r="AH1172" s="105"/>
      <c r="AI1172" s="105"/>
      <c r="AJ1172" s="105"/>
      <c r="AK1172" s="105"/>
      <c r="AL1172" s="105"/>
      <c r="AM1172" s="105"/>
    </row>
    <row r="1173" spans="1:39" ht="15">
      <c r="A1173" s="62" t="s">
        <v>280</v>
      </c>
      <c r="B1173" s="62" t="s">
        <v>245</v>
      </c>
      <c r="C1173" s="63" t="s">
        <v>3598</v>
      </c>
      <c r="D1173" s="64">
        <v>5.2631578947368425</v>
      </c>
      <c r="E1173" s="65" t="s">
        <v>136</v>
      </c>
      <c r="F1173" s="66">
        <v>31.50943396226415</v>
      </c>
      <c r="G1173" s="63"/>
      <c r="H1173" s="67"/>
      <c r="I1173" s="68"/>
      <c r="J1173" s="68"/>
      <c r="K1173" s="31" t="s">
        <v>65</v>
      </c>
      <c r="L1173" s="76">
        <v>1173</v>
      </c>
      <c r="M1173" s="76"/>
      <c r="N1173" s="70"/>
      <c r="O1173" s="78" t="s">
        <v>305</v>
      </c>
      <c r="P1173" s="78" t="s">
        <v>629</v>
      </c>
      <c r="Q1173" s="78" t="s">
        <v>1223</v>
      </c>
      <c r="R1173" s="78" t="s">
        <v>1629</v>
      </c>
      <c r="S1173" s="78"/>
      <c r="T1173" s="78"/>
      <c r="U1173" s="78"/>
      <c r="V1173" s="78"/>
      <c r="W1173" s="81" t="s">
        <v>1674</v>
      </c>
      <c r="X1173" s="81" t="s">
        <v>1674</v>
      </c>
      <c r="Y1173" s="78"/>
      <c r="Z1173" s="78"/>
      <c r="AA1173" s="81" t="s">
        <v>1674</v>
      </c>
      <c r="AB1173" s="79">
        <v>2</v>
      </c>
      <c r="AC1173" s="80" t="str">
        <f>REPLACE(INDEX(GroupVertices[Group],MATCH("~"&amp;Edges[[#This Row],[Vertex 1]],GroupVertices[Vertex],0)),1,1,"")</f>
        <v>3</v>
      </c>
      <c r="AD1173" s="80" t="str">
        <f>REPLACE(INDEX(GroupVertices[Group],MATCH("~"&amp;Edges[[#This Row],[Vertex 2]],GroupVertices[Vertex],0)),1,1,"")</f>
        <v>1</v>
      </c>
      <c r="AE1173" s="105"/>
      <c r="AF1173" s="105"/>
      <c r="AG1173" s="105"/>
      <c r="AH1173" s="105"/>
      <c r="AI1173" s="105"/>
      <c r="AJ1173" s="105"/>
      <c r="AK1173" s="105"/>
      <c r="AL1173" s="105"/>
      <c r="AM1173" s="105"/>
    </row>
    <row r="1174" spans="1:39" ht="15">
      <c r="A1174" s="62" t="s">
        <v>289</v>
      </c>
      <c r="B1174" s="62" t="s">
        <v>245</v>
      </c>
      <c r="C1174" s="63" t="s">
        <v>3598</v>
      </c>
      <c r="D1174" s="64">
        <v>5</v>
      </c>
      <c r="E1174" s="65" t="s">
        <v>132</v>
      </c>
      <c r="F1174" s="66">
        <v>32</v>
      </c>
      <c r="G1174" s="63"/>
      <c r="H1174" s="67"/>
      <c r="I1174" s="68"/>
      <c r="J1174" s="68"/>
      <c r="K1174" s="31" t="s">
        <v>65</v>
      </c>
      <c r="L1174" s="76">
        <v>1174</v>
      </c>
      <c r="M1174" s="76"/>
      <c r="N1174" s="70"/>
      <c r="O1174" s="78" t="s">
        <v>305</v>
      </c>
      <c r="P1174" s="78" t="s">
        <v>625</v>
      </c>
      <c r="Q1174" s="78" t="s">
        <v>1214</v>
      </c>
      <c r="R1174" s="78" t="s">
        <v>1211</v>
      </c>
      <c r="S1174" s="78"/>
      <c r="T1174" s="78"/>
      <c r="U1174" s="78"/>
      <c r="V1174" s="78"/>
      <c r="W1174" s="81" t="s">
        <v>1674</v>
      </c>
      <c r="X1174" s="81" t="s">
        <v>1674</v>
      </c>
      <c r="Y1174" s="78"/>
      <c r="Z1174" s="78"/>
      <c r="AA1174" s="81" t="s">
        <v>1674</v>
      </c>
      <c r="AB1174" s="79">
        <v>1</v>
      </c>
      <c r="AC1174" s="80" t="str">
        <f>REPLACE(INDEX(GroupVertices[Group],MATCH("~"&amp;Edges[[#This Row],[Vertex 1]],GroupVertices[Vertex],0)),1,1,"")</f>
        <v>3</v>
      </c>
      <c r="AD1174" s="80" t="str">
        <f>REPLACE(INDEX(GroupVertices[Group],MATCH("~"&amp;Edges[[#This Row],[Vertex 2]],GroupVertices[Vertex],0)),1,1,"")</f>
        <v>1</v>
      </c>
      <c r="AE1174" s="105"/>
      <c r="AF1174" s="105"/>
      <c r="AG1174" s="105"/>
      <c r="AH1174" s="105"/>
      <c r="AI1174" s="105"/>
      <c r="AJ1174" s="105"/>
      <c r="AK1174" s="105"/>
      <c r="AL1174" s="105"/>
      <c r="AM1174" s="105"/>
    </row>
    <row r="1175" spans="1:39" ht="15">
      <c r="A1175" s="62" t="s">
        <v>263</v>
      </c>
      <c r="B1175" s="62" t="s">
        <v>246</v>
      </c>
      <c r="C1175" s="63" t="s">
        <v>3598</v>
      </c>
      <c r="D1175" s="64">
        <v>5</v>
      </c>
      <c r="E1175" s="65" t="s">
        <v>132</v>
      </c>
      <c r="F1175" s="66">
        <v>32</v>
      </c>
      <c r="G1175" s="63"/>
      <c r="H1175" s="67"/>
      <c r="I1175" s="68"/>
      <c r="J1175" s="68"/>
      <c r="K1175" s="31" t="s">
        <v>65</v>
      </c>
      <c r="L1175" s="76">
        <v>1175</v>
      </c>
      <c r="M1175" s="76"/>
      <c r="N1175" s="70"/>
      <c r="O1175" s="78" t="s">
        <v>305</v>
      </c>
      <c r="P1175" s="78" t="s">
        <v>626</v>
      </c>
      <c r="Q1175" s="78" t="s">
        <v>1216</v>
      </c>
      <c r="R1175" s="78" t="s">
        <v>1215</v>
      </c>
      <c r="S1175" s="78"/>
      <c r="T1175" s="78"/>
      <c r="U1175" s="78"/>
      <c r="V1175" s="78"/>
      <c r="W1175" s="81" t="s">
        <v>1674</v>
      </c>
      <c r="X1175" s="81" t="s">
        <v>1674</v>
      </c>
      <c r="Y1175" s="78"/>
      <c r="Z1175" s="78"/>
      <c r="AA1175" s="81" t="s">
        <v>1674</v>
      </c>
      <c r="AB1175" s="79">
        <v>1</v>
      </c>
      <c r="AC1175" s="80" t="str">
        <f>REPLACE(INDEX(GroupVertices[Group],MATCH("~"&amp;Edges[[#This Row],[Vertex 1]],GroupVertices[Vertex],0)),1,1,"")</f>
        <v>3</v>
      </c>
      <c r="AD1175" s="80" t="str">
        <f>REPLACE(INDEX(GroupVertices[Group],MATCH("~"&amp;Edges[[#This Row],[Vertex 2]],GroupVertices[Vertex],0)),1,1,"")</f>
        <v>3</v>
      </c>
      <c r="AE1175" s="105"/>
      <c r="AF1175" s="105"/>
      <c r="AG1175" s="105"/>
      <c r="AH1175" s="105"/>
      <c r="AI1175" s="105"/>
      <c r="AJ1175" s="105"/>
      <c r="AK1175" s="105"/>
      <c r="AL1175" s="105"/>
      <c r="AM1175" s="105"/>
    </row>
    <row r="1176" spans="1:39" ht="15">
      <c r="A1176" s="62" t="s">
        <v>290</v>
      </c>
      <c r="B1176" s="62" t="s">
        <v>246</v>
      </c>
      <c r="C1176" s="63" t="s">
        <v>3598</v>
      </c>
      <c r="D1176" s="64">
        <v>5</v>
      </c>
      <c r="E1176" s="65" t="s">
        <v>132</v>
      </c>
      <c r="F1176" s="66">
        <v>32</v>
      </c>
      <c r="G1176" s="63"/>
      <c r="H1176" s="67"/>
      <c r="I1176" s="68"/>
      <c r="J1176" s="68"/>
      <c r="K1176" s="31" t="s">
        <v>65</v>
      </c>
      <c r="L1176" s="76">
        <v>1176</v>
      </c>
      <c r="M1176" s="76"/>
      <c r="N1176" s="70"/>
      <c r="O1176" s="78" t="s">
        <v>305</v>
      </c>
      <c r="P1176" s="78" t="s">
        <v>626</v>
      </c>
      <c r="Q1176" s="78" t="s">
        <v>1217</v>
      </c>
      <c r="R1176" s="78" t="s">
        <v>1215</v>
      </c>
      <c r="S1176" s="78"/>
      <c r="T1176" s="78"/>
      <c r="U1176" s="78"/>
      <c r="V1176" s="78"/>
      <c r="W1176" s="81" t="s">
        <v>1674</v>
      </c>
      <c r="X1176" s="81" t="s">
        <v>1674</v>
      </c>
      <c r="Y1176" s="78"/>
      <c r="Z1176" s="78"/>
      <c r="AA1176" s="81" t="s">
        <v>1674</v>
      </c>
      <c r="AB1176" s="79">
        <v>1</v>
      </c>
      <c r="AC1176" s="80" t="str">
        <f>REPLACE(INDEX(GroupVertices[Group],MATCH("~"&amp;Edges[[#This Row],[Vertex 1]],GroupVertices[Vertex],0)),1,1,"")</f>
        <v>3</v>
      </c>
      <c r="AD1176" s="80" t="str">
        <f>REPLACE(INDEX(GroupVertices[Group],MATCH("~"&amp;Edges[[#This Row],[Vertex 2]],GroupVertices[Vertex],0)),1,1,"")</f>
        <v>3</v>
      </c>
      <c r="AE1176" s="105"/>
      <c r="AF1176" s="105"/>
      <c r="AG1176" s="105"/>
      <c r="AH1176" s="105"/>
      <c r="AI1176" s="105"/>
      <c r="AJ1176" s="105"/>
      <c r="AK1176" s="105"/>
      <c r="AL1176" s="105"/>
      <c r="AM1176" s="105"/>
    </row>
    <row r="1177" spans="1:39" ht="15">
      <c r="A1177" s="62" t="s">
        <v>247</v>
      </c>
      <c r="B1177" s="62" t="s">
        <v>246</v>
      </c>
      <c r="C1177" s="63" t="s">
        <v>3598</v>
      </c>
      <c r="D1177" s="64">
        <v>5</v>
      </c>
      <c r="E1177" s="65" t="s">
        <v>132</v>
      </c>
      <c r="F1177" s="66">
        <v>32</v>
      </c>
      <c r="G1177" s="63"/>
      <c r="H1177" s="67"/>
      <c r="I1177" s="68"/>
      <c r="J1177" s="68"/>
      <c r="K1177" s="31" t="s">
        <v>65</v>
      </c>
      <c r="L1177" s="76">
        <v>1177</v>
      </c>
      <c r="M1177" s="76"/>
      <c r="N1177" s="70"/>
      <c r="O1177" s="78" t="s">
        <v>305</v>
      </c>
      <c r="P1177" s="78" t="s">
        <v>349</v>
      </c>
      <c r="Q1177" s="78" t="s">
        <v>704</v>
      </c>
      <c r="R1177" s="78" t="s">
        <v>703</v>
      </c>
      <c r="S1177" s="78"/>
      <c r="T1177" s="78"/>
      <c r="U1177" s="78"/>
      <c r="V1177" s="78"/>
      <c r="W1177" s="81" t="s">
        <v>1674</v>
      </c>
      <c r="X1177" s="81" t="s">
        <v>1674</v>
      </c>
      <c r="Y1177" s="78"/>
      <c r="Z1177" s="78"/>
      <c r="AA1177" s="81" t="s">
        <v>1674</v>
      </c>
      <c r="AB1177" s="79">
        <v>1</v>
      </c>
      <c r="AC1177" s="80" t="str">
        <f>REPLACE(INDEX(GroupVertices[Group],MATCH("~"&amp;Edges[[#This Row],[Vertex 1]],GroupVertices[Vertex],0)),1,1,"")</f>
        <v>2</v>
      </c>
      <c r="AD1177" s="80" t="str">
        <f>REPLACE(INDEX(GroupVertices[Group],MATCH("~"&amp;Edges[[#This Row],[Vertex 2]],GroupVertices[Vertex],0)),1,1,"")</f>
        <v>3</v>
      </c>
      <c r="AE1177" s="105"/>
      <c r="AF1177" s="105"/>
      <c r="AG1177" s="105"/>
      <c r="AH1177" s="105"/>
      <c r="AI1177" s="105"/>
      <c r="AJ1177" s="105"/>
      <c r="AK1177" s="105"/>
      <c r="AL1177" s="105"/>
      <c r="AM1177" s="105"/>
    </row>
    <row r="1178" spans="1:39" ht="15">
      <c r="A1178" s="62" t="s">
        <v>277</v>
      </c>
      <c r="B1178" s="62" t="s">
        <v>246</v>
      </c>
      <c r="C1178" s="63" t="s">
        <v>3598</v>
      </c>
      <c r="D1178" s="64">
        <v>5</v>
      </c>
      <c r="E1178" s="65" t="s">
        <v>132</v>
      </c>
      <c r="F1178" s="66">
        <v>32</v>
      </c>
      <c r="G1178" s="63"/>
      <c r="H1178" s="67"/>
      <c r="I1178" s="68"/>
      <c r="J1178" s="68"/>
      <c r="K1178" s="31" t="s">
        <v>65</v>
      </c>
      <c r="L1178" s="76">
        <v>1178</v>
      </c>
      <c r="M1178" s="76"/>
      <c r="N1178" s="70"/>
      <c r="O1178" s="78" t="s">
        <v>305</v>
      </c>
      <c r="P1178" s="78" t="s">
        <v>625</v>
      </c>
      <c r="Q1178" s="78" t="s">
        <v>1213</v>
      </c>
      <c r="R1178" s="78" t="s">
        <v>1212</v>
      </c>
      <c r="S1178" s="78"/>
      <c r="T1178" s="78"/>
      <c r="U1178" s="78"/>
      <c r="V1178" s="78"/>
      <c r="W1178" s="81" t="s">
        <v>1674</v>
      </c>
      <c r="X1178" s="81" t="s">
        <v>1674</v>
      </c>
      <c r="Y1178" s="78"/>
      <c r="Z1178" s="78"/>
      <c r="AA1178" s="81" t="s">
        <v>1674</v>
      </c>
      <c r="AB1178" s="79">
        <v>1</v>
      </c>
      <c r="AC1178" s="80" t="str">
        <f>REPLACE(INDEX(GroupVertices[Group],MATCH("~"&amp;Edges[[#This Row],[Vertex 1]],GroupVertices[Vertex],0)),1,1,"")</f>
        <v>1</v>
      </c>
      <c r="AD1178" s="80" t="str">
        <f>REPLACE(INDEX(GroupVertices[Group],MATCH("~"&amp;Edges[[#This Row],[Vertex 2]],GroupVertices[Vertex],0)),1,1,"")</f>
        <v>3</v>
      </c>
      <c r="AE1178" s="105"/>
      <c r="AF1178" s="105"/>
      <c r="AG1178" s="105"/>
      <c r="AH1178" s="105"/>
      <c r="AI1178" s="105"/>
      <c r="AJ1178" s="105"/>
      <c r="AK1178" s="105"/>
      <c r="AL1178" s="105"/>
      <c r="AM1178" s="105"/>
    </row>
    <row r="1179" spans="1:39" ht="15">
      <c r="A1179" s="62" t="s">
        <v>280</v>
      </c>
      <c r="B1179" s="62" t="s">
        <v>246</v>
      </c>
      <c r="C1179" s="63" t="s">
        <v>3598</v>
      </c>
      <c r="D1179" s="64">
        <v>5.2631578947368425</v>
      </c>
      <c r="E1179" s="65" t="s">
        <v>136</v>
      </c>
      <c r="F1179" s="66">
        <v>31.50943396226415</v>
      </c>
      <c r="G1179" s="63"/>
      <c r="H1179" s="67"/>
      <c r="I1179" s="68"/>
      <c r="J1179" s="68"/>
      <c r="K1179" s="31" t="s">
        <v>65</v>
      </c>
      <c r="L1179" s="76">
        <v>1179</v>
      </c>
      <c r="M1179" s="76"/>
      <c r="N1179" s="70"/>
      <c r="O1179" s="78" t="s">
        <v>305</v>
      </c>
      <c r="P1179" s="78" t="s">
        <v>630</v>
      </c>
      <c r="Q1179" s="78" t="s">
        <v>1224</v>
      </c>
      <c r="R1179" s="78" t="s">
        <v>1630</v>
      </c>
      <c r="S1179" s="78" t="s">
        <v>1658</v>
      </c>
      <c r="T1179" s="78"/>
      <c r="U1179" s="78" t="s">
        <v>1670</v>
      </c>
      <c r="V1179" s="78"/>
      <c r="W1179" s="81" t="s">
        <v>1674</v>
      </c>
      <c r="X1179" s="81" t="s">
        <v>1674</v>
      </c>
      <c r="Y1179" s="78" t="s">
        <v>1703</v>
      </c>
      <c r="Z1179" s="78" t="s">
        <v>1709</v>
      </c>
      <c r="AA1179" s="81" t="s">
        <v>1674</v>
      </c>
      <c r="AB1179" s="79">
        <v>2</v>
      </c>
      <c r="AC1179" s="80" t="str">
        <f>REPLACE(INDEX(GroupVertices[Group],MATCH("~"&amp;Edges[[#This Row],[Vertex 1]],GroupVertices[Vertex],0)),1,1,"")</f>
        <v>3</v>
      </c>
      <c r="AD1179" s="80" t="str">
        <f>REPLACE(INDEX(GroupVertices[Group],MATCH("~"&amp;Edges[[#This Row],[Vertex 2]],GroupVertices[Vertex],0)),1,1,"")</f>
        <v>3</v>
      </c>
      <c r="AE1179" s="105"/>
      <c r="AF1179" s="105"/>
      <c r="AG1179" s="105"/>
      <c r="AH1179" s="105"/>
      <c r="AI1179" s="105"/>
      <c r="AJ1179" s="105"/>
      <c r="AK1179" s="105"/>
      <c r="AL1179" s="105"/>
      <c r="AM1179" s="105"/>
    </row>
    <row r="1180" spans="1:39" ht="15">
      <c r="A1180" s="62" t="s">
        <v>280</v>
      </c>
      <c r="B1180" s="62" t="s">
        <v>246</v>
      </c>
      <c r="C1180" s="63" t="s">
        <v>3598</v>
      </c>
      <c r="D1180" s="64">
        <v>5.2631578947368425</v>
      </c>
      <c r="E1180" s="65" t="s">
        <v>136</v>
      </c>
      <c r="F1180" s="66">
        <v>31.50943396226415</v>
      </c>
      <c r="G1180" s="63"/>
      <c r="H1180" s="67"/>
      <c r="I1180" s="68"/>
      <c r="J1180" s="68"/>
      <c r="K1180" s="31" t="s">
        <v>65</v>
      </c>
      <c r="L1180" s="76">
        <v>1180</v>
      </c>
      <c r="M1180" s="76"/>
      <c r="N1180" s="70"/>
      <c r="O1180" s="78" t="s">
        <v>305</v>
      </c>
      <c r="P1180" s="78" t="s">
        <v>630</v>
      </c>
      <c r="Q1180" s="78" t="s">
        <v>1224</v>
      </c>
      <c r="R1180" s="78" t="s">
        <v>1631</v>
      </c>
      <c r="S1180" s="78" t="s">
        <v>1658</v>
      </c>
      <c r="T1180" s="78" t="s">
        <v>1667</v>
      </c>
      <c r="U1180" s="78" t="s">
        <v>1670</v>
      </c>
      <c r="V1180" s="78" t="s">
        <v>1670</v>
      </c>
      <c r="W1180" s="81" t="s">
        <v>1674</v>
      </c>
      <c r="X1180" s="81" t="s">
        <v>1674</v>
      </c>
      <c r="Y1180" s="78" t="s">
        <v>1704</v>
      </c>
      <c r="Z1180" s="78" t="s">
        <v>1669</v>
      </c>
      <c r="AA1180" s="81" t="s">
        <v>1674</v>
      </c>
      <c r="AB1180" s="79">
        <v>2</v>
      </c>
      <c r="AC1180" s="80" t="str">
        <f>REPLACE(INDEX(GroupVertices[Group],MATCH("~"&amp;Edges[[#This Row],[Vertex 1]],GroupVertices[Vertex],0)),1,1,"")</f>
        <v>3</v>
      </c>
      <c r="AD1180" s="80" t="str">
        <f>REPLACE(INDEX(GroupVertices[Group],MATCH("~"&amp;Edges[[#This Row],[Vertex 2]],GroupVertices[Vertex],0)),1,1,"")</f>
        <v>3</v>
      </c>
      <c r="AE1180" s="105"/>
      <c r="AF1180" s="105"/>
      <c r="AG1180" s="105"/>
      <c r="AH1180" s="105"/>
      <c r="AI1180" s="105"/>
      <c r="AJ1180" s="105"/>
      <c r="AK1180" s="105"/>
      <c r="AL1180" s="105"/>
      <c r="AM1180" s="105"/>
    </row>
    <row r="1181" spans="1:39" ht="15">
      <c r="A1181" s="62" t="s">
        <v>284</v>
      </c>
      <c r="B1181" s="62" t="s">
        <v>246</v>
      </c>
      <c r="C1181" s="63" t="s">
        <v>3598</v>
      </c>
      <c r="D1181" s="64">
        <v>5</v>
      </c>
      <c r="E1181" s="65" t="s">
        <v>132</v>
      </c>
      <c r="F1181" s="66">
        <v>32</v>
      </c>
      <c r="G1181" s="63"/>
      <c r="H1181" s="67"/>
      <c r="I1181" s="68"/>
      <c r="J1181" s="68"/>
      <c r="K1181" s="31" t="s">
        <v>65</v>
      </c>
      <c r="L1181" s="76">
        <v>1181</v>
      </c>
      <c r="M1181" s="76"/>
      <c r="N1181" s="70"/>
      <c r="O1181" s="78" t="s">
        <v>305</v>
      </c>
      <c r="P1181" s="78" t="s">
        <v>626</v>
      </c>
      <c r="Q1181" s="78" t="s">
        <v>1218</v>
      </c>
      <c r="R1181" s="78" t="s">
        <v>1215</v>
      </c>
      <c r="S1181" s="78"/>
      <c r="T1181" s="78"/>
      <c r="U1181" s="78"/>
      <c r="V1181" s="78"/>
      <c r="W1181" s="81" t="s">
        <v>1674</v>
      </c>
      <c r="X1181" s="81" t="s">
        <v>1674</v>
      </c>
      <c r="Y1181" s="78"/>
      <c r="Z1181" s="78"/>
      <c r="AA1181" s="81" t="s">
        <v>1674</v>
      </c>
      <c r="AB1181" s="79">
        <v>1</v>
      </c>
      <c r="AC1181" s="80" t="str">
        <f>REPLACE(INDEX(GroupVertices[Group],MATCH("~"&amp;Edges[[#This Row],[Vertex 1]],GroupVertices[Vertex],0)),1,1,"")</f>
        <v>1</v>
      </c>
      <c r="AD1181" s="80" t="str">
        <f>REPLACE(INDEX(GroupVertices[Group],MATCH("~"&amp;Edges[[#This Row],[Vertex 2]],GroupVertices[Vertex],0)),1,1,"")</f>
        <v>3</v>
      </c>
      <c r="AE1181" s="105"/>
      <c r="AF1181" s="105"/>
      <c r="AG1181" s="105"/>
      <c r="AH1181" s="105"/>
      <c r="AI1181" s="105"/>
      <c r="AJ1181" s="105"/>
      <c r="AK1181" s="105"/>
      <c r="AL1181" s="105"/>
      <c r="AM1181" s="105"/>
    </row>
    <row r="1182" spans="1:39" ht="15">
      <c r="A1182" s="62" t="s">
        <v>289</v>
      </c>
      <c r="B1182" s="62" t="s">
        <v>246</v>
      </c>
      <c r="C1182" s="63" t="s">
        <v>3603</v>
      </c>
      <c r="D1182" s="64">
        <v>5.7894736842105265</v>
      </c>
      <c r="E1182" s="65" t="s">
        <v>136</v>
      </c>
      <c r="F1182" s="66">
        <v>30.528301886792452</v>
      </c>
      <c r="G1182" s="63"/>
      <c r="H1182" s="67"/>
      <c r="I1182" s="68"/>
      <c r="J1182" s="68"/>
      <c r="K1182" s="31" t="s">
        <v>65</v>
      </c>
      <c r="L1182" s="76">
        <v>1182</v>
      </c>
      <c r="M1182" s="76"/>
      <c r="N1182" s="70"/>
      <c r="O1182" s="78" t="s">
        <v>305</v>
      </c>
      <c r="P1182" s="78" t="s">
        <v>625</v>
      </c>
      <c r="Q1182" s="78" t="s">
        <v>1214</v>
      </c>
      <c r="R1182" s="78" t="s">
        <v>1212</v>
      </c>
      <c r="S1182" s="78"/>
      <c r="T1182" s="78"/>
      <c r="U1182" s="78"/>
      <c r="V1182" s="78"/>
      <c r="W1182" s="81" t="s">
        <v>1674</v>
      </c>
      <c r="X1182" s="81" t="s">
        <v>1674</v>
      </c>
      <c r="Y1182" s="78"/>
      <c r="Z1182" s="78"/>
      <c r="AA1182" s="81" t="s">
        <v>1674</v>
      </c>
      <c r="AB1182" s="79">
        <v>4</v>
      </c>
      <c r="AC1182" s="80" t="str">
        <f>REPLACE(INDEX(GroupVertices[Group],MATCH("~"&amp;Edges[[#This Row],[Vertex 1]],GroupVertices[Vertex],0)),1,1,"")</f>
        <v>3</v>
      </c>
      <c r="AD1182" s="80" t="str">
        <f>REPLACE(INDEX(GroupVertices[Group],MATCH("~"&amp;Edges[[#This Row],[Vertex 2]],GroupVertices[Vertex],0)),1,1,"")</f>
        <v>3</v>
      </c>
      <c r="AE1182" s="105"/>
      <c r="AF1182" s="105"/>
      <c r="AG1182" s="105"/>
      <c r="AH1182" s="105"/>
      <c r="AI1182" s="105"/>
      <c r="AJ1182" s="105"/>
      <c r="AK1182" s="105"/>
      <c r="AL1182" s="105"/>
      <c r="AM1182" s="105"/>
    </row>
    <row r="1183" spans="1:39" ht="15">
      <c r="A1183" s="62" t="s">
        <v>289</v>
      </c>
      <c r="B1183" s="62" t="s">
        <v>246</v>
      </c>
      <c r="C1183" s="63" t="s">
        <v>3603</v>
      </c>
      <c r="D1183" s="64">
        <v>5.7894736842105265</v>
      </c>
      <c r="E1183" s="65" t="s">
        <v>136</v>
      </c>
      <c r="F1183" s="66">
        <v>30.528301886792452</v>
      </c>
      <c r="G1183" s="63"/>
      <c r="H1183" s="67"/>
      <c r="I1183" s="68"/>
      <c r="J1183" s="68"/>
      <c r="K1183" s="31" t="s">
        <v>65</v>
      </c>
      <c r="L1183" s="76">
        <v>1183</v>
      </c>
      <c r="M1183" s="76"/>
      <c r="N1183" s="70"/>
      <c r="O1183" s="78" t="s">
        <v>305</v>
      </c>
      <c r="P1183" s="78" t="s">
        <v>631</v>
      </c>
      <c r="Q1183" s="78" t="s">
        <v>1225</v>
      </c>
      <c r="R1183" s="78" t="s">
        <v>1632</v>
      </c>
      <c r="S1183" s="78" t="s">
        <v>1659</v>
      </c>
      <c r="T1183" s="78" t="s">
        <v>1668</v>
      </c>
      <c r="U1183" s="78" t="s">
        <v>1670</v>
      </c>
      <c r="V1183" s="78" t="s">
        <v>1670</v>
      </c>
      <c r="W1183" s="81" t="s">
        <v>1674</v>
      </c>
      <c r="X1183" s="81" t="s">
        <v>1674</v>
      </c>
      <c r="Y1183" s="78" t="s">
        <v>1705</v>
      </c>
      <c r="Z1183" s="78" t="s">
        <v>1669</v>
      </c>
      <c r="AA1183" s="81" t="s">
        <v>1674</v>
      </c>
      <c r="AB1183" s="79">
        <v>4</v>
      </c>
      <c r="AC1183" s="80" t="str">
        <f>REPLACE(INDEX(GroupVertices[Group],MATCH("~"&amp;Edges[[#This Row],[Vertex 1]],GroupVertices[Vertex],0)),1,1,"")</f>
        <v>3</v>
      </c>
      <c r="AD1183" s="80" t="str">
        <f>REPLACE(INDEX(GroupVertices[Group],MATCH("~"&amp;Edges[[#This Row],[Vertex 2]],GroupVertices[Vertex],0)),1,1,"")</f>
        <v>3</v>
      </c>
      <c r="AE1183" s="105"/>
      <c r="AF1183" s="105"/>
      <c r="AG1183" s="105"/>
      <c r="AH1183" s="105"/>
      <c r="AI1183" s="105"/>
      <c r="AJ1183" s="105"/>
      <c r="AK1183" s="105"/>
      <c r="AL1183" s="105"/>
      <c r="AM1183" s="105"/>
    </row>
    <row r="1184" spans="1:39" ht="15">
      <c r="A1184" s="62" t="s">
        <v>289</v>
      </c>
      <c r="B1184" s="62" t="s">
        <v>246</v>
      </c>
      <c r="C1184" s="63" t="s">
        <v>3603</v>
      </c>
      <c r="D1184" s="64">
        <v>5.7894736842105265</v>
      </c>
      <c r="E1184" s="65" t="s">
        <v>136</v>
      </c>
      <c r="F1184" s="66">
        <v>30.528301886792452</v>
      </c>
      <c r="G1184" s="63"/>
      <c r="H1184" s="67"/>
      <c r="I1184" s="68"/>
      <c r="J1184" s="68"/>
      <c r="K1184" s="31" t="s">
        <v>65</v>
      </c>
      <c r="L1184" s="76">
        <v>1184</v>
      </c>
      <c r="M1184" s="76"/>
      <c r="N1184" s="70"/>
      <c r="O1184" s="78" t="s">
        <v>305</v>
      </c>
      <c r="P1184" s="78" t="s">
        <v>626</v>
      </c>
      <c r="Q1184" s="78" t="s">
        <v>1219</v>
      </c>
      <c r="R1184" s="78" t="s">
        <v>1215</v>
      </c>
      <c r="S1184" s="78"/>
      <c r="T1184" s="78"/>
      <c r="U1184" s="78"/>
      <c r="V1184" s="78"/>
      <c r="W1184" s="81" t="s">
        <v>1674</v>
      </c>
      <c r="X1184" s="81" t="s">
        <v>1674</v>
      </c>
      <c r="Y1184" s="78"/>
      <c r="Z1184" s="78"/>
      <c r="AA1184" s="81" t="s">
        <v>1674</v>
      </c>
      <c r="AB1184" s="79">
        <v>4</v>
      </c>
      <c r="AC1184" s="80" t="str">
        <f>REPLACE(INDEX(GroupVertices[Group],MATCH("~"&amp;Edges[[#This Row],[Vertex 1]],GroupVertices[Vertex],0)),1,1,"")</f>
        <v>3</v>
      </c>
      <c r="AD1184" s="80" t="str">
        <f>REPLACE(INDEX(GroupVertices[Group],MATCH("~"&amp;Edges[[#This Row],[Vertex 2]],GroupVertices[Vertex],0)),1,1,"")</f>
        <v>3</v>
      </c>
      <c r="AE1184" s="105"/>
      <c r="AF1184" s="105"/>
      <c r="AG1184" s="105"/>
      <c r="AH1184" s="105"/>
      <c r="AI1184" s="105"/>
      <c r="AJ1184" s="105"/>
      <c r="AK1184" s="105"/>
      <c r="AL1184" s="105"/>
      <c r="AM1184" s="105"/>
    </row>
    <row r="1185" spans="1:39" ht="15">
      <c r="A1185" s="62" t="s">
        <v>289</v>
      </c>
      <c r="B1185" s="62" t="s">
        <v>246</v>
      </c>
      <c r="C1185" s="63" t="s">
        <v>3603</v>
      </c>
      <c r="D1185" s="64">
        <v>5.7894736842105265</v>
      </c>
      <c r="E1185" s="65" t="s">
        <v>136</v>
      </c>
      <c r="F1185" s="66">
        <v>30.528301886792452</v>
      </c>
      <c r="G1185" s="63"/>
      <c r="H1185" s="67"/>
      <c r="I1185" s="68"/>
      <c r="J1185" s="68"/>
      <c r="K1185" s="31" t="s">
        <v>65</v>
      </c>
      <c r="L1185" s="76">
        <v>1185</v>
      </c>
      <c r="M1185" s="76"/>
      <c r="N1185" s="70"/>
      <c r="O1185" s="78" t="s">
        <v>305</v>
      </c>
      <c r="P1185" s="78" t="s">
        <v>626</v>
      </c>
      <c r="Q1185" s="78" t="s">
        <v>1220</v>
      </c>
      <c r="R1185" s="78" t="s">
        <v>1215</v>
      </c>
      <c r="S1185" s="78"/>
      <c r="T1185" s="78"/>
      <c r="U1185" s="78"/>
      <c r="V1185" s="78"/>
      <c r="W1185" s="81" t="s">
        <v>1674</v>
      </c>
      <c r="X1185" s="81" t="s">
        <v>1674</v>
      </c>
      <c r="Y1185" s="78"/>
      <c r="Z1185" s="78"/>
      <c r="AA1185" s="81" t="s">
        <v>1674</v>
      </c>
      <c r="AB1185" s="79">
        <v>4</v>
      </c>
      <c r="AC1185" s="80" t="str">
        <f>REPLACE(INDEX(GroupVertices[Group],MATCH("~"&amp;Edges[[#This Row],[Vertex 1]],GroupVertices[Vertex],0)),1,1,"")</f>
        <v>3</v>
      </c>
      <c r="AD1185" s="80" t="str">
        <f>REPLACE(INDEX(GroupVertices[Group],MATCH("~"&amp;Edges[[#This Row],[Vertex 2]],GroupVertices[Vertex],0)),1,1,"")</f>
        <v>3</v>
      </c>
      <c r="AE1185" s="105"/>
      <c r="AF1185" s="105"/>
      <c r="AG1185" s="105"/>
      <c r="AH1185" s="105"/>
      <c r="AI1185" s="105"/>
      <c r="AJ1185" s="105"/>
      <c r="AK1185" s="105"/>
      <c r="AL1185" s="105"/>
      <c r="AM1185" s="105"/>
    </row>
    <row r="1186" spans="1:39" ht="15">
      <c r="A1186" s="62" t="s">
        <v>290</v>
      </c>
      <c r="B1186" s="62" t="s">
        <v>263</v>
      </c>
      <c r="C1186" s="63" t="s">
        <v>3598</v>
      </c>
      <c r="D1186" s="64">
        <v>5</v>
      </c>
      <c r="E1186" s="65" t="s">
        <v>132</v>
      </c>
      <c r="F1186" s="66">
        <v>32</v>
      </c>
      <c r="G1186" s="63"/>
      <c r="H1186" s="67"/>
      <c r="I1186" s="68"/>
      <c r="J1186" s="68"/>
      <c r="K1186" s="31" t="s">
        <v>65</v>
      </c>
      <c r="L1186" s="76">
        <v>1186</v>
      </c>
      <c r="M1186" s="76"/>
      <c r="N1186" s="70"/>
      <c r="O1186" s="78" t="s">
        <v>305</v>
      </c>
      <c r="P1186" s="78" t="s">
        <v>626</v>
      </c>
      <c r="Q1186" s="78" t="s">
        <v>1217</v>
      </c>
      <c r="R1186" s="78" t="s">
        <v>1216</v>
      </c>
      <c r="S1186" s="78"/>
      <c r="T1186" s="78"/>
      <c r="U1186" s="78"/>
      <c r="V1186" s="78"/>
      <c r="W1186" s="81" t="s">
        <v>1674</v>
      </c>
      <c r="X1186" s="81" t="s">
        <v>1674</v>
      </c>
      <c r="Y1186" s="78"/>
      <c r="Z1186" s="78"/>
      <c r="AA1186" s="81" t="s">
        <v>1674</v>
      </c>
      <c r="AB1186" s="79">
        <v>1</v>
      </c>
      <c r="AC1186" s="80" t="str">
        <f>REPLACE(INDEX(GroupVertices[Group],MATCH("~"&amp;Edges[[#This Row],[Vertex 1]],GroupVertices[Vertex],0)),1,1,"")</f>
        <v>3</v>
      </c>
      <c r="AD1186" s="80" t="str">
        <f>REPLACE(INDEX(GroupVertices[Group],MATCH("~"&amp;Edges[[#This Row],[Vertex 2]],GroupVertices[Vertex],0)),1,1,"")</f>
        <v>3</v>
      </c>
      <c r="AE1186" s="105"/>
      <c r="AF1186" s="105"/>
      <c r="AG1186" s="105"/>
      <c r="AH1186" s="105"/>
      <c r="AI1186" s="105"/>
      <c r="AJ1186" s="105"/>
      <c r="AK1186" s="105"/>
      <c r="AL1186" s="105"/>
      <c r="AM1186" s="105"/>
    </row>
    <row r="1187" spans="1:39" ht="15">
      <c r="A1187" s="62" t="s">
        <v>277</v>
      </c>
      <c r="B1187" s="62" t="s">
        <v>263</v>
      </c>
      <c r="C1187" s="63" t="s">
        <v>3598</v>
      </c>
      <c r="D1187" s="64">
        <v>5.2631578947368425</v>
      </c>
      <c r="E1187" s="65" t="s">
        <v>136</v>
      </c>
      <c r="F1187" s="66">
        <v>31.50943396226415</v>
      </c>
      <c r="G1187" s="63"/>
      <c r="H1187" s="67"/>
      <c r="I1187" s="68"/>
      <c r="J1187" s="68"/>
      <c r="K1187" s="31" t="s">
        <v>65</v>
      </c>
      <c r="L1187" s="76">
        <v>1187</v>
      </c>
      <c r="M1187" s="76"/>
      <c r="N1187" s="70"/>
      <c r="O1187" s="78" t="s">
        <v>305</v>
      </c>
      <c r="P1187" s="78" t="s">
        <v>483</v>
      </c>
      <c r="Q1187" s="78" t="s">
        <v>967</v>
      </c>
      <c r="R1187" s="78" t="s">
        <v>964</v>
      </c>
      <c r="S1187" s="78"/>
      <c r="T1187" s="78"/>
      <c r="U1187" s="78"/>
      <c r="V1187" s="78"/>
      <c r="W1187" s="81" t="s">
        <v>1674</v>
      </c>
      <c r="X1187" s="81" t="s">
        <v>1674</v>
      </c>
      <c r="Y1187" s="78"/>
      <c r="Z1187" s="78"/>
      <c r="AA1187" s="81" t="s">
        <v>1674</v>
      </c>
      <c r="AB1187" s="79">
        <v>2</v>
      </c>
      <c r="AC1187" s="80" t="str">
        <f>REPLACE(INDEX(GroupVertices[Group],MATCH("~"&amp;Edges[[#This Row],[Vertex 1]],GroupVertices[Vertex],0)),1,1,"")</f>
        <v>1</v>
      </c>
      <c r="AD1187" s="80" t="str">
        <f>REPLACE(INDEX(GroupVertices[Group],MATCH("~"&amp;Edges[[#This Row],[Vertex 2]],GroupVertices[Vertex],0)),1,1,"")</f>
        <v>3</v>
      </c>
      <c r="AE1187" s="105"/>
      <c r="AF1187" s="105"/>
      <c r="AG1187" s="105"/>
      <c r="AH1187" s="105"/>
      <c r="AI1187" s="105"/>
      <c r="AJ1187" s="105"/>
      <c r="AK1187" s="105"/>
      <c r="AL1187" s="105"/>
      <c r="AM1187" s="105"/>
    </row>
    <row r="1188" spans="1:39" ht="15">
      <c r="A1188" s="62" t="s">
        <v>277</v>
      </c>
      <c r="B1188" s="62" t="s">
        <v>263</v>
      </c>
      <c r="C1188" s="63" t="s">
        <v>3598</v>
      </c>
      <c r="D1188" s="64">
        <v>5.2631578947368425</v>
      </c>
      <c r="E1188" s="65" t="s">
        <v>136</v>
      </c>
      <c r="F1188" s="66">
        <v>31.50943396226415</v>
      </c>
      <c r="G1188" s="63"/>
      <c r="H1188" s="67"/>
      <c r="I1188" s="68"/>
      <c r="J1188" s="68"/>
      <c r="K1188" s="31" t="s">
        <v>65</v>
      </c>
      <c r="L1188" s="76">
        <v>1188</v>
      </c>
      <c r="M1188" s="76"/>
      <c r="N1188" s="70"/>
      <c r="O1188" s="78" t="s">
        <v>305</v>
      </c>
      <c r="P1188" s="78" t="s">
        <v>483</v>
      </c>
      <c r="Q1188" s="78" t="s">
        <v>967</v>
      </c>
      <c r="R1188" s="78" t="s">
        <v>965</v>
      </c>
      <c r="S1188" s="78"/>
      <c r="T1188" s="78"/>
      <c r="U1188" s="78"/>
      <c r="V1188" s="78"/>
      <c r="W1188" s="81" t="s">
        <v>1674</v>
      </c>
      <c r="X1188" s="81" t="s">
        <v>1674</v>
      </c>
      <c r="Y1188" s="78"/>
      <c r="Z1188" s="78"/>
      <c r="AA1188" s="81" t="s">
        <v>1674</v>
      </c>
      <c r="AB1188" s="79">
        <v>2</v>
      </c>
      <c r="AC1188" s="80" t="str">
        <f>REPLACE(INDEX(GroupVertices[Group],MATCH("~"&amp;Edges[[#This Row],[Vertex 1]],GroupVertices[Vertex],0)),1,1,"")</f>
        <v>1</v>
      </c>
      <c r="AD1188" s="80" t="str">
        <f>REPLACE(INDEX(GroupVertices[Group],MATCH("~"&amp;Edges[[#This Row],[Vertex 2]],GroupVertices[Vertex],0)),1,1,"")</f>
        <v>3</v>
      </c>
      <c r="AE1188" s="105"/>
      <c r="AF1188" s="105"/>
      <c r="AG1188" s="105"/>
      <c r="AH1188" s="105"/>
      <c r="AI1188" s="105"/>
      <c r="AJ1188" s="105"/>
      <c r="AK1188" s="105"/>
      <c r="AL1188" s="105"/>
      <c r="AM1188" s="105"/>
    </row>
    <row r="1189" spans="1:39" ht="15">
      <c r="A1189" s="62" t="s">
        <v>280</v>
      </c>
      <c r="B1189" s="62" t="s">
        <v>263</v>
      </c>
      <c r="C1189" s="63" t="s">
        <v>3598</v>
      </c>
      <c r="D1189" s="64">
        <v>5.2631578947368425</v>
      </c>
      <c r="E1189" s="65" t="s">
        <v>136</v>
      </c>
      <c r="F1189" s="66">
        <v>31.50943396226415</v>
      </c>
      <c r="G1189" s="63"/>
      <c r="H1189" s="67"/>
      <c r="I1189" s="68"/>
      <c r="J1189" s="68"/>
      <c r="K1189" s="31" t="s">
        <v>65</v>
      </c>
      <c r="L1189" s="76">
        <v>1189</v>
      </c>
      <c r="M1189" s="76"/>
      <c r="N1189" s="70"/>
      <c r="O1189" s="78" t="s">
        <v>305</v>
      </c>
      <c r="P1189" s="78" t="s">
        <v>483</v>
      </c>
      <c r="Q1189" s="78" t="s">
        <v>969</v>
      </c>
      <c r="R1189" s="78" t="s">
        <v>964</v>
      </c>
      <c r="S1189" s="78"/>
      <c r="T1189" s="78"/>
      <c r="U1189" s="78"/>
      <c r="V1189" s="78"/>
      <c r="W1189" s="81" t="s">
        <v>1674</v>
      </c>
      <c r="X1189" s="81" t="s">
        <v>1674</v>
      </c>
      <c r="Y1189" s="78"/>
      <c r="Z1189" s="78"/>
      <c r="AA1189" s="81" t="s">
        <v>1674</v>
      </c>
      <c r="AB1189" s="79">
        <v>2</v>
      </c>
      <c r="AC1189" s="80" t="str">
        <f>REPLACE(INDEX(GroupVertices[Group],MATCH("~"&amp;Edges[[#This Row],[Vertex 1]],GroupVertices[Vertex],0)),1,1,"")</f>
        <v>3</v>
      </c>
      <c r="AD1189" s="80" t="str">
        <f>REPLACE(INDEX(GroupVertices[Group],MATCH("~"&amp;Edges[[#This Row],[Vertex 2]],GroupVertices[Vertex],0)),1,1,"")</f>
        <v>3</v>
      </c>
      <c r="AE1189" s="105"/>
      <c r="AF1189" s="105"/>
      <c r="AG1189" s="105"/>
      <c r="AH1189" s="105"/>
      <c r="AI1189" s="105"/>
      <c r="AJ1189" s="105"/>
      <c r="AK1189" s="105"/>
      <c r="AL1189" s="105"/>
      <c r="AM1189" s="105"/>
    </row>
    <row r="1190" spans="1:39" ht="15">
      <c r="A1190" s="62" t="s">
        <v>280</v>
      </c>
      <c r="B1190" s="62" t="s">
        <v>263</v>
      </c>
      <c r="C1190" s="63" t="s">
        <v>3598</v>
      </c>
      <c r="D1190" s="64">
        <v>5.2631578947368425</v>
      </c>
      <c r="E1190" s="65" t="s">
        <v>136</v>
      </c>
      <c r="F1190" s="66">
        <v>31.50943396226415</v>
      </c>
      <c r="G1190" s="63"/>
      <c r="H1190" s="67"/>
      <c r="I1190" s="68"/>
      <c r="J1190" s="68"/>
      <c r="K1190" s="31" t="s">
        <v>65</v>
      </c>
      <c r="L1190" s="76">
        <v>1190</v>
      </c>
      <c r="M1190" s="76"/>
      <c r="N1190" s="70"/>
      <c r="O1190" s="78" t="s">
        <v>305</v>
      </c>
      <c r="P1190" s="78" t="s">
        <v>483</v>
      </c>
      <c r="Q1190" s="78" t="s">
        <v>969</v>
      </c>
      <c r="R1190" s="78" t="s">
        <v>965</v>
      </c>
      <c r="S1190" s="78"/>
      <c r="T1190" s="78"/>
      <c r="U1190" s="78"/>
      <c r="V1190" s="78"/>
      <c r="W1190" s="81" t="s">
        <v>1674</v>
      </c>
      <c r="X1190" s="81" t="s">
        <v>1674</v>
      </c>
      <c r="Y1190" s="78"/>
      <c r="Z1190" s="78"/>
      <c r="AA1190" s="81" t="s">
        <v>1674</v>
      </c>
      <c r="AB1190" s="79">
        <v>2</v>
      </c>
      <c r="AC1190" s="80" t="str">
        <f>REPLACE(INDEX(GroupVertices[Group],MATCH("~"&amp;Edges[[#This Row],[Vertex 1]],GroupVertices[Vertex],0)),1,1,"")</f>
        <v>3</v>
      </c>
      <c r="AD1190" s="80" t="str">
        <f>REPLACE(INDEX(GroupVertices[Group],MATCH("~"&amp;Edges[[#This Row],[Vertex 2]],GroupVertices[Vertex],0)),1,1,"")</f>
        <v>3</v>
      </c>
      <c r="AE1190" s="105"/>
      <c r="AF1190" s="105"/>
      <c r="AG1190" s="105"/>
      <c r="AH1190" s="105"/>
      <c r="AI1190" s="105"/>
      <c r="AJ1190" s="105"/>
      <c r="AK1190" s="105"/>
      <c r="AL1190" s="105"/>
      <c r="AM1190" s="105"/>
    </row>
    <row r="1191" spans="1:39" ht="15">
      <c r="A1191" s="62" t="s">
        <v>284</v>
      </c>
      <c r="B1191" s="62" t="s">
        <v>263</v>
      </c>
      <c r="C1191" s="63" t="s">
        <v>3598</v>
      </c>
      <c r="D1191" s="64">
        <v>5</v>
      </c>
      <c r="E1191" s="65" t="s">
        <v>132</v>
      </c>
      <c r="F1191" s="66">
        <v>32</v>
      </c>
      <c r="G1191" s="63"/>
      <c r="H1191" s="67"/>
      <c r="I1191" s="68"/>
      <c r="J1191" s="68"/>
      <c r="K1191" s="31" t="s">
        <v>65</v>
      </c>
      <c r="L1191" s="76">
        <v>1191</v>
      </c>
      <c r="M1191" s="76"/>
      <c r="N1191" s="70"/>
      <c r="O1191" s="78" t="s">
        <v>305</v>
      </c>
      <c r="P1191" s="78" t="s">
        <v>626</v>
      </c>
      <c r="Q1191" s="78" t="s">
        <v>1218</v>
      </c>
      <c r="R1191" s="78" t="s">
        <v>1216</v>
      </c>
      <c r="S1191" s="78"/>
      <c r="T1191" s="78"/>
      <c r="U1191" s="78"/>
      <c r="V1191" s="78"/>
      <c r="W1191" s="81" t="s">
        <v>1674</v>
      </c>
      <c r="X1191" s="81" t="s">
        <v>1674</v>
      </c>
      <c r="Y1191" s="78"/>
      <c r="Z1191" s="78"/>
      <c r="AA1191" s="81" t="s">
        <v>1674</v>
      </c>
      <c r="AB1191" s="79">
        <v>1</v>
      </c>
      <c r="AC1191" s="80" t="str">
        <f>REPLACE(INDEX(GroupVertices[Group],MATCH("~"&amp;Edges[[#This Row],[Vertex 1]],GroupVertices[Vertex],0)),1,1,"")</f>
        <v>1</v>
      </c>
      <c r="AD1191" s="80" t="str">
        <f>REPLACE(INDEX(GroupVertices[Group],MATCH("~"&amp;Edges[[#This Row],[Vertex 2]],GroupVertices[Vertex],0)),1,1,"")</f>
        <v>3</v>
      </c>
      <c r="AE1191" s="105"/>
      <c r="AF1191" s="105"/>
      <c r="AG1191" s="105"/>
      <c r="AH1191" s="105"/>
      <c r="AI1191" s="105"/>
      <c r="AJ1191" s="105"/>
      <c r="AK1191" s="105"/>
      <c r="AL1191" s="105"/>
      <c r="AM1191" s="105"/>
    </row>
    <row r="1192" spans="1:39" ht="15">
      <c r="A1192" s="62" t="s">
        <v>289</v>
      </c>
      <c r="B1192" s="62" t="s">
        <v>263</v>
      </c>
      <c r="C1192" s="63" t="s">
        <v>3598</v>
      </c>
      <c r="D1192" s="64">
        <v>5.2631578947368425</v>
      </c>
      <c r="E1192" s="65" t="s">
        <v>136</v>
      </c>
      <c r="F1192" s="66">
        <v>31.50943396226415</v>
      </c>
      <c r="G1192" s="63"/>
      <c r="H1192" s="67"/>
      <c r="I1192" s="68"/>
      <c r="J1192" s="68"/>
      <c r="K1192" s="31" t="s">
        <v>65</v>
      </c>
      <c r="L1192" s="76">
        <v>1192</v>
      </c>
      <c r="M1192" s="76"/>
      <c r="N1192" s="70"/>
      <c r="O1192" s="78" t="s">
        <v>305</v>
      </c>
      <c r="P1192" s="78" t="s">
        <v>626</v>
      </c>
      <c r="Q1192" s="78" t="s">
        <v>1219</v>
      </c>
      <c r="R1192" s="78" t="s">
        <v>1216</v>
      </c>
      <c r="S1192" s="78"/>
      <c r="T1192" s="78"/>
      <c r="U1192" s="78"/>
      <c r="V1192" s="78"/>
      <c r="W1192" s="81" t="s">
        <v>1674</v>
      </c>
      <c r="X1192" s="81" t="s">
        <v>1674</v>
      </c>
      <c r="Y1192" s="78"/>
      <c r="Z1192" s="78"/>
      <c r="AA1192" s="81" t="s">
        <v>1674</v>
      </c>
      <c r="AB1192" s="79">
        <v>2</v>
      </c>
      <c r="AC1192" s="80" t="str">
        <f>REPLACE(INDEX(GroupVertices[Group],MATCH("~"&amp;Edges[[#This Row],[Vertex 1]],GroupVertices[Vertex],0)),1,1,"")</f>
        <v>3</v>
      </c>
      <c r="AD1192" s="80" t="str">
        <f>REPLACE(INDEX(GroupVertices[Group],MATCH("~"&amp;Edges[[#This Row],[Vertex 2]],GroupVertices[Vertex],0)),1,1,"")</f>
        <v>3</v>
      </c>
      <c r="AE1192" s="105"/>
      <c r="AF1192" s="105"/>
      <c r="AG1192" s="105"/>
      <c r="AH1192" s="105"/>
      <c r="AI1192" s="105"/>
      <c r="AJ1192" s="105"/>
      <c r="AK1192" s="105"/>
      <c r="AL1192" s="105"/>
      <c r="AM1192" s="105"/>
    </row>
    <row r="1193" spans="1:39" ht="15">
      <c r="A1193" s="62" t="s">
        <v>289</v>
      </c>
      <c r="B1193" s="62" t="s">
        <v>263</v>
      </c>
      <c r="C1193" s="63" t="s">
        <v>3598</v>
      </c>
      <c r="D1193" s="64">
        <v>5.2631578947368425</v>
      </c>
      <c r="E1193" s="65" t="s">
        <v>136</v>
      </c>
      <c r="F1193" s="66">
        <v>31.50943396226415</v>
      </c>
      <c r="G1193" s="63"/>
      <c r="H1193" s="67"/>
      <c r="I1193" s="68"/>
      <c r="J1193" s="68"/>
      <c r="K1193" s="31" t="s">
        <v>65</v>
      </c>
      <c r="L1193" s="76">
        <v>1193</v>
      </c>
      <c r="M1193" s="76"/>
      <c r="N1193" s="70"/>
      <c r="O1193" s="78" t="s">
        <v>305</v>
      </c>
      <c r="P1193" s="78" t="s">
        <v>626</v>
      </c>
      <c r="Q1193" s="78" t="s">
        <v>1220</v>
      </c>
      <c r="R1193" s="78" t="s">
        <v>1216</v>
      </c>
      <c r="S1193" s="78"/>
      <c r="T1193" s="78"/>
      <c r="U1193" s="78"/>
      <c r="V1193" s="78"/>
      <c r="W1193" s="81" t="s">
        <v>1674</v>
      </c>
      <c r="X1193" s="81" t="s">
        <v>1674</v>
      </c>
      <c r="Y1193" s="78"/>
      <c r="Z1193" s="78"/>
      <c r="AA1193" s="81" t="s">
        <v>1674</v>
      </c>
      <c r="AB1193" s="79">
        <v>2</v>
      </c>
      <c r="AC1193" s="80" t="str">
        <f>REPLACE(INDEX(GroupVertices[Group],MATCH("~"&amp;Edges[[#This Row],[Vertex 1]],GroupVertices[Vertex],0)),1,1,"")</f>
        <v>3</v>
      </c>
      <c r="AD1193" s="80" t="str">
        <f>REPLACE(INDEX(GroupVertices[Group],MATCH("~"&amp;Edges[[#This Row],[Vertex 2]],GroupVertices[Vertex],0)),1,1,"")</f>
        <v>3</v>
      </c>
      <c r="AE1193" s="105"/>
      <c r="AF1193" s="105"/>
      <c r="AG1193" s="105"/>
      <c r="AH1193" s="105"/>
      <c r="AI1193" s="105"/>
      <c r="AJ1193" s="105"/>
      <c r="AK1193" s="105"/>
      <c r="AL1193" s="105"/>
      <c r="AM1193" s="105"/>
    </row>
    <row r="1194" spans="1:39" ht="15">
      <c r="A1194" s="62" t="s">
        <v>289</v>
      </c>
      <c r="B1194" s="62" t="s">
        <v>264</v>
      </c>
      <c r="C1194" s="63" t="s">
        <v>3598</v>
      </c>
      <c r="D1194" s="64">
        <v>5</v>
      </c>
      <c r="E1194" s="65" t="s">
        <v>132</v>
      </c>
      <c r="F1194" s="66">
        <v>32</v>
      </c>
      <c r="G1194" s="63"/>
      <c r="H1194" s="67"/>
      <c r="I1194" s="68"/>
      <c r="J1194" s="68"/>
      <c r="K1194" s="31" t="s">
        <v>65</v>
      </c>
      <c r="L1194" s="76">
        <v>1194</v>
      </c>
      <c r="M1194" s="76"/>
      <c r="N1194" s="70"/>
      <c r="O1194" s="78" t="s">
        <v>305</v>
      </c>
      <c r="P1194" s="78" t="s">
        <v>632</v>
      </c>
      <c r="Q1194" s="78" t="s">
        <v>1226</v>
      </c>
      <c r="R1194" s="78" t="s">
        <v>1226</v>
      </c>
      <c r="S1194" s="78"/>
      <c r="T1194" s="78"/>
      <c r="U1194" s="78"/>
      <c r="V1194" s="78"/>
      <c r="W1194" s="81" t="s">
        <v>1674</v>
      </c>
      <c r="X1194" s="81" t="s">
        <v>1674</v>
      </c>
      <c r="Y1194" s="78"/>
      <c r="Z1194" s="78"/>
      <c r="AA1194" s="81" t="s">
        <v>1674</v>
      </c>
      <c r="AB1194" s="79">
        <v>1</v>
      </c>
      <c r="AC1194" s="80" t="str">
        <f>REPLACE(INDEX(GroupVertices[Group],MATCH("~"&amp;Edges[[#This Row],[Vertex 1]],GroupVertices[Vertex],0)),1,1,"")</f>
        <v>3</v>
      </c>
      <c r="AD1194" s="80" t="str">
        <f>REPLACE(INDEX(GroupVertices[Group],MATCH("~"&amp;Edges[[#This Row],[Vertex 2]],GroupVertices[Vertex],0)),1,1,"")</f>
        <v>3</v>
      </c>
      <c r="AE1194" s="105"/>
      <c r="AF1194" s="105"/>
      <c r="AG1194" s="105"/>
      <c r="AH1194" s="105"/>
      <c r="AI1194" s="105"/>
      <c r="AJ1194" s="105"/>
      <c r="AK1194" s="105"/>
      <c r="AL1194" s="105"/>
      <c r="AM1194" s="105"/>
    </row>
    <row r="1195" spans="1:39" ht="15">
      <c r="A1195" s="62" t="s">
        <v>284</v>
      </c>
      <c r="B1195" s="62" t="s">
        <v>290</v>
      </c>
      <c r="C1195" s="63" t="s">
        <v>3598</v>
      </c>
      <c r="D1195" s="64">
        <v>5</v>
      </c>
      <c r="E1195" s="65" t="s">
        <v>132</v>
      </c>
      <c r="F1195" s="66">
        <v>32</v>
      </c>
      <c r="G1195" s="63"/>
      <c r="H1195" s="67"/>
      <c r="I1195" s="68"/>
      <c r="J1195" s="68"/>
      <c r="K1195" s="31" t="s">
        <v>65</v>
      </c>
      <c r="L1195" s="76">
        <v>1195</v>
      </c>
      <c r="M1195" s="76"/>
      <c r="N1195" s="70"/>
      <c r="O1195" s="78" t="s">
        <v>305</v>
      </c>
      <c r="P1195" s="78" t="s">
        <v>626</v>
      </c>
      <c r="Q1195" s="78" t="s">
        <v>1218</v>
      </c>
      <c r="R1195" s="78" t="s">
        <v>1217</v>
      </c>
      <c r="S1195" s="78"/>
      <c r="T1195" s="78"/>
      <c r="U1195" s="78"/>
      <c r="V1195" s="78"/>
      <c r="W1195" s="81" t="s">
        <v>1674</v>
      </c>
      <c r="X1195" s="81" t="s">
        <v>1674</v>
      </c>
      <c r="Y1195" s="78"/>
      <c r="Z1195" s="78"/>
      <c r="AA1195" s="81" t="s">
        <v>1674</v>
      </c>
      <c r="AB1195" s="79">
        <v>1</v>
      </c>
      <c r="AC1195" s="80" t="str">
        <f>REPLACE(INDEX(GroupVertices[Group],MATCH("~"&amp;Edges[[#This Row],[Vertex 1]],GroupVertices[Vertex],0)),1,1,"")</f>
        <v>1</v>
      </c>
      <c r="AD1195" s="80" t="str">
        <f>REPLACE(INDEX(GroupVertices[Group],MATCH("~"&amp;Edges[[#This Row],[Vertex 2]],GroupVertices[Vertex],0)),1,1,"")</f>
        <v>3</v>
      </c>
      <c r="AE1195" s="105"/>
      <c r="AF1195" s="105"/>
      <c r="AG1195" s="105"/>
      <c r="AH1195" s="105"/>
      <c r="AI1195" s="105"/>
      <c r="AJ1195" s="105"/>
      <c r="AK1195" s="105"/>
      <c r="AL1195" s="105"/>
      <c r="AM1195" s="105"/>
    </row>
    <row r="1196" spans="1:39" ht="15">
      <c r="A1196" s="62" t="s">
        <v>289</v>
      </c>
      <c r="B1196" s="62" t="s">
        <v>290</v>
      </c>
      <c r="C1196" s="63" t="s">
        <v>3598</v>
      </c>
      <c r="D1196" s="64">
        <v>5.2631578947368425</v>
      </c>
      <c r="E1196" s="65" t="s">
        <v>136</v>
      </c>
      <c r="F1196" s="66">
        <v>31.50943396226415</v>
      </c>
      <c r="G1196" s="63"/>
      <c r="H1196" s="67"/>
      <c r="I1196" s="68"/>
      <c r="J1196" s="68"/>
      <c r="K1196" s="31" t="s">
        <v>65</v>
      </c>
      <c r="L1196" s="76">
        <v>1196</v>
      </c>
      <c r="M1196" s="76"/>
      <c r="N1196" s="70"/>
      <c r="O1196" s="78" t="s">
        <v>305</v>
      </c>
      <c r="P1196" s="78" t="s">
        <v>626</v>
      </c>
      <c r="Q1196" s="78" t="s">
        <v>1219</v>
      </c>
      <c r="R1196" s="78" t="s">
        <v>1217</v>
      </c>
      <c r="S1196" s="78"/>
      <c r="T1196" s="78"/>
      <c r="U1196" s="78"/>
      <c r="V1196" s="78"/>
      <c r="W1196" s="81" t="s">
        <v>1674</v>
      </c>
      <c r="X1196" s="81" t="s">
        <v>1674</v>
      </c>
      <c r="Y1196" s="78"/>
      <c r="Z1196" s="78"/>
      <c r="AA1196" s="81" t="s">
        <v>1674</v>
      </c>
      <c r="AB1196" s="79">
        <v>2</v>
      </c>
      <c r="AC1196" s="80" t="str">
        <f>REPLACE(INDEX(GroupVertices[Group],MATCH("~"&amp;Edges[[#This Row],[Vertex 1]],GroupVertices[Vertex],0)),1,1,"")</f>
        <v>3</v>
      </c>
      <c r="AD1196" s="80" t="str">
        <f>REPLACE(INDEX(GroupVertices[Group],MATCH("~"&amp;Edges[[#This Row],[Vertex 2]],GroupVertices[Vertex],0)),1,1,"")</f>
        <v>3</v>
      </c>
      <c r="AE1196" s="105"/>
      <c r="AF1196" s="105"/>
      <c r="AG1196" s="105"/>
      <c r="AH1196" s="105"/>
      <c r="AI1196" s="105"/>
      <c r="AJ1196" s="105"/>
      <c r="AK1196" s="105"/>
      <c r="AL1196" s="105"/>
      <c r="AM1196" s="105"/>
    </row>
    <row r="1197" spans="1:39" ht="15">
      <c r="A1197" s="62" t="s">
        <v>289</v>
      </c>
      <c r="B1197" s="62" t="s">
        <v>290</v>
      </c>
      <c r="C1197" s="63" t="s">
        <v>3598</v>
      </c>
      <c r="D1197" s="64">
        <v>5.2631578947368425</v>
      </c>
      <c r="E1197" s="65" t="s">
        <v>136</v>
      </c>
      <c r="F1197" s="66">
        <v>31.50943396226415</v>
      </c>
      <c r="G1197" s="63"/>
      <c r="H1197" s="67"/>
      <c r="I1197" s="68"/>
      <c r="J1197" s="68"/>
      <c r="K1197" s="31" t="s">
        <v>65</v>
      </c>
      <c r="L1197" s="76">
        <v>1197</v>
      </c>
      <c r="M1197" s="76"/>
      <c r="N1197" s="70"/>
      <c r="O1197" s="78" t="s">
        <v>305</v>
      </c>
      <c r="P1197" s="78" t="s">
        <v>626</v>
      </c>
      <c r="Q1197" s="78" t="s">
        <v>1220</v>
      </c>
      <c r="R1197" s="78" t="s">
        <v>1217</v>
      </c>
      <c r="S1197" s="78"/>
      <c r="T1197" s="78"/>
      <c r="U1197" s="78"/>
      <c r="V1197" s="78"/>
      <c r="W1197" s="81" t="s">
        <v>1674</v>
      </c>
      <c r="X1197" s="81" t="s">
        <v>1674</v>
      </c>
      <c r="Y1197" s="78"/>
      <c r="Z1197" s="78"/>
      <c r="AA1197" s="81" t="s">
        <v>1674</v>
      </c>
      <c r="AB1197" s="79">
        <v>2</v>
      </c>
      <c r="AC1197" s="80" t="str">
        <f>REPLACE(INDEX(GroupVertices[Group],MATCH("~"&amp;Edges[[#This Row],[Vertex 1]],GroupVertices[Vertex],0)),1,1,"")</f>
        <v>3</v>
      </c>
      <c r="AD1197" s="80" t="str">
        <f>REPLACE(INDEX(GroupVertices[Group],MATCH("~"&amp;Edges[[#This Row],[Vertex 2]],GroupVertices[Vertex],0)),1,1,"")</f>
        <v>3</v>
      </c>
      <c r="AE1197" s="105"/>
      <c r="AF1197" s="105"/>
      <c r="AG1197" s="105"/>
      <c r="AH1197" s="105"/>
      <c r="AI1197" s="105"/>
      <c r="AJ1197" s="105"/>
      <c r="AK1197" s="105"/>
      <c r="AL1197" s="105"/>
      <c r="AM1197" s="105"/>
    </row>
    <row r="1198" spans="1:39" ht="15">
      <c r="A1198" s="62" t="s">
        <v>289</v>
      </c>
      <c r="B1198" s="62" t="s">
        <v>247</v>
      </c>
      <c r="C1198" s="63" t="s">
        <v>3598</v>
      </c>
      <c r="D1198" s="64">
        <v>5</v>
      </c>
      <c r="E1198" s="65" t="s">
        <v>132</v>
      </c>
      <c r="F1198" s="66">
        <v>32</v>
      </c>
      <c r="G1198" s="63"/>
      <c r="H1198" s="67"/>
      <c r="I1198" s="68"/>
      <c r="J1198" s="68"/>
      <c r="K1198" s="31" t="s">
        <v>65</v>
      </c>
      <c r="L1198" s="76">
        <v>1198</v>
      </c>
      <c r="M1198" s="76"/>
      <c r="N1198" s="70"/>
      <c r="O1198" s="78" t="s">
        <v>305</v>
      </c>
      <c r="P1198" s="78" t="s">
        <v>633</v>
      </c>
      <c r="Q1198" s="78" t="s">
        <v>1227</v>
      </c>
      <c r="R1198" s="78" t="s">
        <v>1633</v>
      </c>
      <c r="S1198" s="78" t="s">
        <v>1660</v>
      </c>
      <c r="T1198" s="78"/>
      <c r="U1198" s="78" t="s">
        <v>1670</v>
      </c>
      <c r="V1198" s="78"/>
      <c r="W1198" s="81" t="s">
        <v>1674</v>
      </c>
      <c r="X1198" s="81" t="s">
        <v>1674</v>
      </c>
      <c r="Y1198" s="78" t="s">
        <v>1706</v>
      </c>
      <c r="Z1198" s="78" t="s">
        <v>1709</v>
      </c>
      <c r="AA1198" s="81" t="s">
        <v>1674</v>
      </c>
      <c r="AB1198" s="79">
        <v>1</v>
      </c>
      <c r="AC1198" s="80" t="str">
        <f>REPLACE(INDEX(GroupVertices[Group],MATCH("~"&amp;Edges[[#This Row],[Vertex 1]],GroupVertices[Vertex],0)),1,1,"")</f>
        <v>3</v>
      </c>
      <c r="AD1198" s="80" t="str">
        <f>REPLACE(INDEX(GroupVertices[Group],MATCH("~"&amp;Edges[[#This Row],[Vertex 2]],GroupVertices[Vertex],0)),1,1,"")</f>
        <v>2</v>
      </c>
      <c r="AE1198" s="105"/>
      <c r="AF1198" s="105"/>
      <c r="AG1198" s="105"/>
      <c r="AH1198" s="105"/>
      <c r="AI1198" s="105"/>
      <c r="AJ1198" s="105"/>
      <c r="AK1198" s="105"/>
      <c r="AL1198" s="105"/>
      <c r="AM1198" s="105"/>
    </row>
    <row r="1199" spans="1:39" ht="15">
      <c r="A1199" s="62" t="s">
        <v>277</v>
      </c>
      <c r="B1199" s="62" t="s">
        <v>266</v>
      </c>
      <c r="C1199" s="63" t="s">
        <v>3598</v>
      </c>
      <c r="D1199" s="64">
        <v>5</v>
      </c>
      <c r="E1199" s="65" t="s">
        <v>132</v>
      </c>
      <c r="F1199" s="66">
        <v>32</v>
      </c>
      <c r="G1199" s="63"/>
      <c r="H1199" s="67"/>
      <c r="I1199" s="68"/>
      <c r="J1199" s="68"/>
      <c r="K1199" s="31" t="s">
        <v>65</v>
      </c>
      <c r="L1199" s="76">
        <v>1199</v>
      </c>
      <c r="M1199" s="76"/>
      <c r="N1199" s="70"/>
      <c r="O1199" s="78" t="s">
        <v>305</v>
      </c>
      <c r="P1199" s="78" t="s">
        <v>634</v>
      </c>
      <c r="Q1199" s="78" t="s">
        <v>1228</v>
      </c>
      <c r="R1199" s="78" t="s">
        <v>1634</v>
      </c>
      <c r="S1199" s="78"/>
      <c r="T1199" s="78"/>
      <c r="U1199" s="78"/>
      <c r="V1199" s="78"/>
      <c r="W1199" s="81" t="s">
        <v>1674</v>
      </c>
      <c r="X1199" s="81" t="s">
        <v>1674</v>
      </c>
      <c r="Y1199" s="78"/>
      <c r="Z1199" s="78"/>
      <c r="AA1199" s="81" t="s">
        <v>1674</v>
      </c>
      <c r="AB1199" s="79">
        <v>1</v>
      </c>
      <c r="AC1199" s="80" t="str">
        <f>REPLACE(INDEX(GroupVertices[Group],MATCH("~"&amp;Edges[[#This Row],[Vertex 1]],GroupVertices[Vertex],0)),1,1,"")</f>
        <v>1</v>
      </c>
      <c r="AD1199" s="80" t="str">
        <f>REPLACE(INDEX(GroupVertices[Group],MATCH("~"&amp;Edges[[#This Row],[Vertex 2]],GroupVertices[Vertex],0)),1,1,"")</f>
        <v>1</v>
      </c>
      <c r="AE1199" s="105"/>
      <c r="AF1199" s="105"/>
      <c r="AG1199" s="105"/>
      <c r="AH1199" s="105"/>
      <c r="AI1199" s="105"/>
      <c r="AJ1199" s="105"/>
      <c r="AK1199" s="105"/>
      <c r="AL1199" s="105"/>
      <c r="AM1199" s="105"/>
    </row>
    <row r="1200" spans="1:39" ht="15">
      <c r="A1200" s="62" t="s">
        <v>280</v>
      </c>
      <c r="B1200" s="62" t="s">
        <v>266</v>
      </c>
      <c r="C1200" s="63" t="s">
        <v>3598</v>
      </c>
      <c r="D1200" s="64">
        <v>5</v>
      </c>
      <c r="E1200" s="65" t="s">
        <v>132</v>
      </c>
      <c r="F1200" s="66">
        <v>32</v>
      </c>
      <c r="G1200" s="63"/>
      <c r="H1200" s="67"/>
      <c r="I1200" s="68"/>
      <c r="J1200" s="68"/>
      <c r="K1200" s="31" t="s">
        <v>65</v>
      </c>
      <c r="L1200" s="76">
        <v>1200</v>
      </c>
      <c r="M1200" s="76"/>
      <c r="N1200" s="70"/>
      <c r="O1200" s="78" t="s">
        <v>305</v>
      </c>
      <c r="P1200" s="78" t="s">
        <v>635</v>
      </c>
      <c r="Q1200" s="78" t="s">
        <v>1229</v>
      </c>
      <c r="R1200" s="78" t="s">
        <v>1635</v>
      </c>
      <c r="S1200" s="78"/>
      <c r="T1200" s="78"/>
      <c r="U1200" s="78"/>
      <c r="V1200" s="78"/>
      <c r="W1200" s="81" t="s">
        <v>1674</v>
      </c>
      <c r="X1200" s="81" t="s">
        <v>1674</v>
      </c>
      <c r="Y1200" s="78"/>
      <c r="Z1200" s="78"/>
      <c r="AA1200" s="81" t="s">
        <v>1674</v>
      </c>
      <c r="AB1200" s="79">
        <v>1</v>
      </c>
      <c r="AC1200" s="80" t="str">
        <f>REPLACE(INDEX(GroupVertices[Group],MATCH("~"&amp;Edges[[#This Row],[Vertex 1]],GroupVertices[Vertex],0)),1,1,"")</f>
        <v>3</v>
      </c>
      <c r="AD1200" s="80" t="str">
        <f>REPLACE(INDEX(GroupVertices[Group],MATCH("~"&amp;Edges[[#This Row],[Vertex 2]],GroupVertices[Vertex],0)),1,1,"")</f>
        <v>1</v>
      </c>
      <c r="AE1200" s="105"/>
      <c r="AF1200" s="105"/>
      <c r="AG1200" s="105"/>
      <c r="AH1200" s="105"/>
      <c r="AI1200" s="105"/>
      <c r="AJ1200" s="105"/>
      <c r="AK1200" s="105"/>
      <c r="AL1200" s="105"/>
      <c r="AM1200" s="105"/>
    </row>
    <row r="1201" spans="1:39" ht="15">
      <c r="A1201" s="62" t="s">
        <v>284</v>
      </c>
      <c r="B1201" s="62" t="s">
        <v>266</v>
      </c>
      <c r="C1201" s="63" t="s">
        <v>3598</v>
      </c>
      <c r="D1201" s="64">
        <v>5</v>
      </c>
      <c r="E1201" s="65" t="s">
        <v>132</v>
      </c>
      <c r="F1201" s="66">
        <v>32</v>
      </c>
      <c r="G1201" s="63"/>
      <c r="H1201" s="67"/>
      <c r="I1201" s="68"/>
      <c r="J1201" s="68"/>
      <c r="K1201" s="31" t="s">
        <v>65</v>
      </c>
      <c r="L1201" s="76">
        <v>1201</v>
      </c>
      <c r="M1201" s="76"/>
      <c r="N1201" s="70"/>
      <c r="O1201" s="78" t="s">
        <v>305</v>
      </c>
      <c r="P1201" s="78" t="s">
        <v>636</v>
      </c>
      <c r="Q1201" s="78" t="s">
        <v>1230</v>
      </c>
      <c r="R1201" s="78" t="s">
        <v>1636</v>
      </c>
      <c r="S1201" s="78"/>
      <c r="T1201" s="78"/>
      <c r="U1201" s="78"/>
      <c r="V1201" s="78"/>
      <c r="W1201" s="81" t="s">
        <v>1674</v>
      </c>
      <c r="X1201" s="81" t="s">
        <v>1674</v>
      </c>
      <c r="Y1201" s="78"/>
      <c r="Z1201" s="78"/>
      <c r="AA1201" s="81" t="s">
        <v>1674</v>
      </c>
      <c r="AB1201" s="79">
        <v>1</v>
      </c>
      <c r="AC1201" s="80" t="str">
        <f>REPLACE(INDEX(GroupVertices[Group],MATCH("~"&amp;Edges[[#This Row],[Vertex 1]],GroupVertices[Vertex],0)),1,1,"")</f>
        <v>1</v>
      </c>
      <c r="AD1201" s="80" t="str">
        <f>REPLACE(INDEX(GroupVertices[Group],MATCH("~"&amp;Edges[[#This Row],[Vertex 2]],GroupVertices[Vertex],0)),1,1,"")</f>
        <v>1</v>
      </c>
      <c r="AE1201" s="105"/>
      <c r="AF1201" s="105"/>
      <c r="AG1201" s="105"/>
      <c r="AH1201" s="105"/>
      <c r="AI1201" s="105"/>
      <c r="AJ1201" s="105"/>
      <c r="AK1201" s="105"/>
      <c r="AL1201" s="105"/>
      <c r="AM1201" s="105"/>
    </row>
    <row r="1202" spans="1:39" ht="15">
      <c r="A1202" s="62" t="s">
        <v>289</v>
      </c>
      <c r="B1202" s="62" t="s">
        <v>266</v>
      </c>
      <c r="C1202" s="63" t="s">
        <v>3598</v>
      </c>
      <c r="D1202" s="64">
        <v>5.2631578947368425</v>
      </c>
      <c r="E1202" s="65" t="s">
        <v>136</v>
      </c>
      <c r="F1202" s="66">
        <v>31.50943396226415</v>
      </c>
      <c r="G1202" s="63"/>
      <c r="H1202" s="67"/>
      <c r="I1202" s="68"/>
      <c r="J1202" s="68"/>
      <c r="K1202" s="31" t="s">
        <v>65</v>
      </c>
      <c r="L1202" s="76">
        <v>1202</v>
      </c>
      <c r="M1202" s="76"/>
      <c r="N1202" s="70"/>
      <c r="O1202" s="78" t="s">
        <v>305</v>
      </c>
      <c r="P1202" s="78" t="s">
        <v>637</v>
      </c>
      <c r="Q1202" s="78" t="s">
        <v>1231</v>
      </c>
      <c r="R1202" s="78" t="s">
        <v>1637</v>
      </c>
      <c r="S1202" s="78"/>
      <c r="T1202" s="78"/>
      <c r="U1202" s="78"/>
      <c r="V1202" s="78"/>
      <c r="W1202" s="81" t="s">
        <v>1674</v>
      </c>
      <c r="X1202" s="81" t="s">
        <v>1674</v>
      </c>
      <c r="Y1202" s="78"/>
      <c r="Z1202" s="78"/>
      <c r="AA1202" s="81" t="s">
        <v>1674</v>
      </c>
      <c r="AB1202" s="79">
        <v>2</v>
      </c>
      <c r="AC1202" s="80" t="str">
        <f>REPLACE(INDEX(GroupVertices[Group],MATCH("~"&amp;Edges[[#This Row],[Vertex 1]],GroupVertices[Vertex],0)),1,1,"")</f>
        <v>3</v>
      </c>
      <c r="AD1202" s="80" t="str">
        <f>REPLACE(INDEX(GroupVertices[Group],MATCH("~"&amp;Edges[[#This Row],[Vertex 2]],GroupVertices[Vertex],0)),1,1,"")</f>
        <v>1</v>
      </c>
      <c r="AE1202" s="105"/>
      <c r="AF1202" s="105"/>
      <c r="AG1202" s="105"/>
      <c r="AH1202" s="105"/>
      <c r="AI1202" s="105"/>
      <c r="AJ1202" s="105"/>
      <c r="AK1202" s="105"/>
      <c r="AL1202" s="105"/>
      <c r="AM1202" s="105"/>
    </row>
    <row r="1203" spans="1:39" ht="15">
      <c r="A1203" s="62" t="s">
        <v>289</v>
      </c>
      <c r="B1203" s="62" t="s">
        <v>266</v>
      </c>
      <c r="C1203" s="63" t="s">
        <v>3598</v>
      </c>
      <c r="D1203" s="64">
        <v>5.2631578947368425</v>
      </c>
      <c r="E1203" s="65" t="s">
        <v>136</v>
      </c>
      <c r="F1203" s="66">
        <v>31.50943396226415</v>
      </c>
      <c r="G1203" s="63"/>
      <c r="H1203" s="67"/>
      <c r="I1203" s="68"/>
      <c r="J1203" s="68"/>
      <c r="K1203" s="31" t="s">
        <v>65</v>
      </c>
      <c r="L1203" s="76">
        <v>1203</v>
      </c>
      <c r="M1203" s="76"/>
      <c r="N1203" s="70"/>
      <c r="O1203" s="78" t="s">
        <v>305</v>
      </c>
      <c r="P1203" s="78" t="s">
        <v>638</v>
      </c>
      <c r="Q1203" s="78" t="s">
        <v>1232</v>
      </c>
      <c r="R1203" s="78" t="s">
        <v>1638</v>
      </c>
      <c r="S1203" s="78"/>
      <c r="T1203" s="78"/>
      <c r="U1203" s="78"/>
      <c r="V1203" s="78"/>
      <c r="W1203" s="81" t="s">
        <v>1674</v>
      </c>
      <c r="X1203" s="81" t="s">
        <v>1674</v>
      </c>
      <c r="Y1203" s="78"/>
      <c r="Z1203" s="78"/>
      <c r="AA1203" s="81" t="s">
        <v>1674</v>
      </c>
      <c r="AB1203" s="79">
        <v>2</v>
      </c>
      <c r="AC1203" s="80" t="str">
        <f>REPLACE(INDEX(GroupVertices[Group],MATCH("~"&amp;Edges[[#This Row],[Vertex 1]],GroupVertices[Vertex],0)),1,1,"")</f>
        <v>3</v>
      </c>
      <c r="AD1203" s="80" t="str">
        <f>REPLACE(INDEX(GroupVertices[Group],MATCH("~"&amp;Edges[[#This Row],[Vertex 2]],GroupVertices[Vertex],0)),1,1,"")</f>
        <v>1</v>
      </c>
      <c r="AE1203" s="105"/>
      <c r="AF1203" s="105"/>
      <c r="AG1203" s="105"/>
      <c r="AH1203" s="105"/>
      <c r="AI1203" s="105"/>
      <c r="AJ1203" s="105"/>
      <c r="AK1203" s="105"/>
      <c r="AL1203" s="105"/>
      <c r="AM1203" s="105"/>
    </row>
    <row r="1204" spans="1:39" ht="15">
      <c r="A1204" s="62" t="s">
        <v>280</v>
      </c>
      <c r="B1204" s="62" t="s">
        <v>277</v>
      </c>
      <c r="C1204" s="63" t="s">
        <v>3599</v>
      </c>
      <c r="D1204" s="64">
        <v>6.052631578947368</v>
      </c>
      <c r="E1204" s="65" t="s">
        <v>136</v>
      </c>
      <c r="F1204" s="66">
        <v>30.037735849056602</v>
      </c>
      <c r="G1204" s="63"/>
      <c r="H1204" s="67"/>
      <c r="I1204" s="68"/>
      <c r="J1204" s="68"/>
      <c r="K1204" s="31" t="s">
        <v>65</v>
      </c>
      <c r="L1204" s="76">
        <v>1204</v>
      </c>
      <c r="M1204" s="76"/>
      <c r="N1204" s="70"/>
      <c r="O1204" s="78" t="s">
        <v>305</v>
      </c>
      <c r="P1204" s="78" t="s">
        <v>483</v>
      </c>
      <c r="Q1204" s="78" t="s">
        <v>969</v>
      </c>
      <c r="R1204" s="78" t="s">
        <v>967</v>
      </c>
      <c r="S1204" s="78"/>
      <c r="T1204" s="78"/>
      <c r="U1204" s="78"/>
      <c r="V1204" s="78"/>
      <c r="W1204" s="81" t="s">
        <v>1674</v>
      </c>
      <c r="X1204" s="81" t="s">
        <v>1674</v>
      </c>
      <c r="Y1204" s="78"/>
      <c r="Z1204" s="78"/>
      <c r="AA1204" s="81" t="s">
        <v>1674</v>
      </c>
      <c r="AB1204" s="79">
        <v>5</v>
      </c>
      <c r="AC1204" s="80" t="str">
        <f>REPLACE(INDEX(GroupVertices[Group],MATCH("~"&amp;Edges[[#This Row],[Vertex 1]],GroupVertices[Vertex],0)),1,1,"")</f>
        <v>3</v>
      </c>
      <c r="AD1204" s="80" t="str">
        <f>REPLACE(INDEX(GroupVertices[Group],MATCH("~"&amp;Edges[[#This Row],[Vertex 2]],GroupVertices[Vertex],0)),1,1,"")</f>
        <v>1</v>
      </c>
      <c r="AE1204" s="105"/>
      <c r="AF1204" s="105"/>
      <c r="AG1204" s="105"/>
      <c r="AH1204" s="105"/>
      <c r="AI1204" s="105"/>
      <c r="AJ1204" s="105"/>
      <c r="AK1204" s="105"/>
      <c r="AL1204" s="105"/>
      <c r="AM1204" s="105"/>
    </row>
    <row r="1205" spans="1:39" ht="15">
      <c r="A1205" s="62" t="s">
        <v>280</v>
      </c>
      <c r="B1205" s="62" t="s">
        <v>277</v>
      </c>
      <c r="C1205" s="63" t="s">
        <v>3599</v>
      </c>
      <c r="D1205" s="64">
        <v>6.052631578947368</v>
      </c>
      <c r="E1205" s="65" t="s">
        <v>136</v>
      </c>
      <c r="F1205" s="66">
        <v>30.037735849056602</v>
      </c>
      <c r="G1205" s="63"/>
      <c r="H1205" s="67"/>
      <c r="I1205" s="68"/>
      <c r="J1205" s="68"/>
      <c r="K1205" s="31" t="s">
        <v>65</v>
      </c>
      <c r="L1205" s="76">
        <v>1205</v>
      </c>
      <c r="M1205" s="76"/>
      <c r="N1205" s="70"/>
      <c r="O1205" s="78" t="s">
        <v>305</v>
      </c>
      <c r="P1205" s="78" t="s">
        <v>639</v>
      </c>
      <c r="Q1205" s="78" t="s">
        <v>1233</v>
      </c>
      <c r="R1205" s="78" t="s">
        <v>1639</v>
      </c>
      <c r="S1205" s="78"/>
      <c r="T1205" s="78"/>
      <c r="U1205" s="78"/>
      <c r="V1205" s="78"/>
      <c r="W1205" s="81" t="s">
        <v>1674</v>
      </c>
      <c r="X1205" s="81" t="s">
        <v>1674</v>
      </c>
      <c r="Y1205" s="78"/>
      <c r="Z1205" s="78"/>
      <c r="AA1205" s="81" t="s">
        <v>1674</v>
      </c>
      <c r="AB1205" s="79">
        <v>5</v>
      </c>
      <c r="AC1205" s="80" t="str">
        <f>REPLACE(INDEX(GroupVertices[Group],MATCH("~"&amp;Edges[[#This Row],[Vertex 1]],GroupVertices[Vertex],0)),1,1,"")</f>
        <v>3</v>
      </c>
      <c r="AD1205" s="80" t="str">
        <f>REPLACE(INDEX(GroupVertices[Group],MATCH("~"&amp;Edges[[#This Row],[Vertex 2]],GroupVertices[Vertex],0)),1,1,"")</f>
        <v>1</v>
      </c>
      <c r="AE1205" s="105"/>
      <c r="AF1205" s="105"/>
      <c r="AG1205" s="105"/>
      <c r="AH1205" s="105"/>
      <c r="AI1205" s="105"/>
      <c r="AJ1205" s="105"/>
      <c r="AK1205" s="105"/>
      <c r="AL1205" s="105"/>
      <c r="AM1205" s="105"/>
    </row>
    <row r="1206" spans="1:39" ht="15">
      <c r="A1206" s="62" t="s">
        <v>280</v>
      </c>
      <c r="B1206" s="62" t="s">
        <v>277</v>
      </c>
      <c r="C1206" s="63" t="s">
        <v>3599</v>
      </c>
      <c r="D1206" s="64">
        <v>6.052631578947368</v>
      </c>
      <c r="E1206" s="65" t="s">
        <v>136</v>
      </c>
      <c r="F1206" s="66">
        <v>30.037735849056602</v>
      </c>
      <c r="G1206" s="63"/>
      <c r="H1206" s="67"/>
      <c r="I1206" s="68"/>
      <c r="J1206" s="68"/>
      <c r="K1206" s="31" t="s">
        <v>65</v>
      </c>
      <c r="L1206" s="76">
        <v>1206</v>
      </c>
      <c r="M1206" s="76"/>
      <c r="N1206" s="70"/>
      <c r="O1206" s="78" t="s">
        <v>305</v>
      </c>
      <c r="P1206" s="78" t="s">
        <v>640</v>
      </c>
      <c r="Q1206" s="78" t="s">
        <v>1234</v>
      </c>
      <c r="R1206" s="78" t="s">
        <v>1640</v>
      </c>
      <c r="S1206" s="78"/>
      <c r="T1206" s="78"/>
      <c r="U1206" s="78"/>
      <c r="V1206" s="78"/>
      <c r="W1206" s="81" t="s">
        <v>1674</v>
      </c>
      <c r="X1206" s="81" t="s">
        <v>1674</v>
      </c>
      <c r="Y1206" s="78"/>
      <c r="Z1206" s="78"/>
      <c r="AA1206" s="81" t="s">
        <v>1674</v>
      </c>
      <c r="AB1206" s="79">
        <v>5</v>
      </c>
      <c r="AC1206" s="80" t="str">
        <f>REPLACE(INDEX(GroupVertices[Group],MATCH("~"&amp;Edges[[#This Row],[Vertex 1]],GroupVertices[Vertex],0)),1,1,"")</f>
        <v>3</v>
      </c>
      <c r="AD1206" s="80" t="str">
        <f>REPLACE(INDEX(GroupVertices[Group],MATCH("~"&amp;Edges[[#This Row],[Vertex 2]],GroupVertices[Vertex],0)),1,1,"")</f>
        <v>1</v>
      </c>
      <c r="AE1206" s="105"/>
      <c r="AF1206" s="105"/>
      <c r="AG1206" s="105"/>
      <c r="AH1206" s="105"/>
      <c r="AI1206" s="105"/>
      <c r="AJ1206" s="105"/>
      <c r="AK1206" s="105"/>
      <c r="AL1206" s="105"/>
      <c r="AM1206" s="105"/>
    </row>
    <row r="1207" spans="1:39" ht="15">
      <c r="A1207" s="62" t="s">
        <v>280</v>
      </c>
      <c r="B1207" s="62" t="s">
        <v>277</v>
      </c>
      <c r="C1207" s="63" t="s">
        <v>3599</v>
      </c>
      <c r="D1207" s="64">
        <v>6.052631578947368</v>
      </c>
      <c r="E1207" s="65" t="s">
        <v>136</v>
      </c>
      <c r="F1207" s="66">
        <v>30.037735849056602</v>
      </c>
      <c r="G1207" s="63"/>
      <c r="H1207" s="67"/>
      <c r="I1207" s="68"/>
      <c r="J1207" s="68"/>
      <c r="K1207" s="31" t="s">
        <v>65</v>
      </c>
      <c r="L1207" s="76">
        <v>1207</v>
      </c>
      <c r="M1207" s="76"/>
      <c r="N1207" s="70"/>
      <c r="O1207" s="78" t="s">
        <v>305</v>
      </c>
      <c r="P1207" s="78" t="s">
        <v>507</v>
      </c>
      <c r="Q1207" s="78" t="s">
        <v>1008</v>
      </c>
      <c r="R1207" s="78" t="s">
        <v>1008</v>
      </c>
      <c r="S1207" s="78"/>
      <c r="T1207" s="78"/>
      <c r="U1207" s="78"/>
      <c r="V1207" s="78"/>
      <c r="W1207" s="81" t="s">
        <v>1674</v>
      </c>
      <c r="X1207" s="81" t="s">
        <v>1674</v>
      </c>
      <c r="Y1207" s="78"/>
      <c r="Z1207" s="78"/>
      <c r="AA1207" s="81" t="s">
        <v>1674</v>
      </c>
      <c r="AB1207" s="79">
        <v>5</v>
      </c>
      <c r="AC1207" s="80" t="str">
        <f>REPLACE(INDEX(GroupVertices[Group],MATCH("~"&amp;Edges[[#This Row],[Vertex 1]],GroupVertices[Vertex],0)),1,1,"")</f>
        <v>3</v>
      </c>
      <c r="AD1207" s="80" t="str">
        <f>REPLACE(INDEX(GroupVertices[Group],MATCH("~"&amp;Edges[[#This Row],[Vertex 2]],GroupVertices[Vertex],0)),1,1,"")</f>
        <v>1</v>
      </c>
      <c r="AE1207" s="105"/>
      <c r="AF1207" s="105"/>
      <c r="AG1207" s="105"/>
      <c r="AH1207" s="105"/>
      <c r="AI1207" s="105"/>
      <c r="AJ1207" s="105"/>
      <c r="AK1207" s="105"/>
      <c r="AL1207" s="105"/>
      <c r="AM1207" s="105"/>
    </row>
    <row r="1208" spans="1:39" ht="15">
      <c r="A1208" s="62" t="s">
        <v>280</v>
      </c>
      <c r="B1208" s="62" t="s">
        <v>277</v>
      </c>
      <c r="C1208" s="63" t="s">
        <v>3599</v>
      </c>
      <c r="D1208" s="64">
        <v>6.052631578947368</v>
      </c>
      <c r="E1208" s="65" t="s">
        <v>136</v>
      </c>
      <c r="F1208" s="66">
        <v>30.037735849056602</v>
      </c>
      <c r="G1208" s="63"/>
      <c r="H1208" s="67"/>
      <c r="I1208" s="68"/>
      <c r="J1208" s="68"/>
      <c r="K1208" s="31" t="s">
        <v>65</v>
      </c>
      <c r="L1208" s="76">
        <v>1208</v>
      </c>
      <c r="M1208" s="76"/>
      <c r="N1208" s="70"/>
      <c r="O1208" s="78" t="s">
        <v>305</v>
      </c>
      <c r="P1208" s="78" t="s">
        <v>479</v>
      </c>
      <c r="Q1208" s="78" t="s">
        <v>956</v>
      </c>
      <c r="R1208" s="78" t="s">
        <v>956</v>
      </c>
      <c r="S1208" s="78"/>
      <c r="T1208" s="78"/>
      <c r="U1208" s="78"/>
      <c r="V1208" s="78"/>
      <c r="W1208" s="81" t="s">
        <v>1674</v>
      </c>
      <c r="X1208" s="81" t="s">
        <v>1674</v>
      </c>
      <c r="Y1208" s="78"/>
      <c r="Z1208" s="78"/>
      <c r="AA1208" s="81" t="s">
        <v>1674</v>
      </c>
      <c r="AB1208" s="79">
        <v>5</v>
      </c>
      <c r="AC1208" s="80" t="str">
        <f>REPLACE(INDEX(GroupVertices[Group],MATCH("~"&amp;Edges[[#This Row],[Vertex 1]],GroupVertices[Vertex],0)),1,1,"")</f>
        <v>3</v>
      </c>
      <c r="AD1208" s="80" t="str">
        <f>REPLACE(INDEX(GroupVertices[Group],MATCH("~"&amp;Edges[[#This Row],[Vertex 2]],GroupVertices[Vertex],0)),1,1,"")</f>
        <v>1</v>
      </c>
      <c r="AE1208" s="105"/>
      <c r="AF1208" s="105"/>
      <c r="AG1208" s="105"/>
      <c r="AH1208" s="105"/>
      <c r="AI1208" s="105"/>
      <c r="AJ1208" s="105"/>
      <c r="AK1208" s="105"/>
      <c r="AL1208" s="105"/>
      <c r="AM1208" s="105"/>
    </row>
    <row r="1209" spans="1:39" ht="15">
      <c r="A1209" s="62" t="s">
        <v>284</v>
      </c>
      <c r="B1209" s="62" t="s">
        <v>277</v>
      </c>
      <c r="C1209" s="63" t="s">
        <v>3598</v>
      </c>
      <c r="D1209" s="64">
        <v>5</v>
      </c>
      <c r="E1209" s="65" t="s">
        <v>132</v>
      </c>
      <c r="F1209" s="66">
        <v>32</v>
      </c>
      <c r="G1209" s="63"/>
      <c r="H1209" s="67"/>
      <c r="I1209" s="68"/>
      <c r="J1209" s="68"/>
      <c r="K1209" s="31" t="s">
        <v>65</v>
      </c>
      <c r="L1209" s="76">
        <v>1209</v>
      </c>
      <c r="M1209" s="76"/>
      <c r="N1209" s="70"/>
      <c r="O1209" s="78" t="s">
        <v>305</v>
      </c>
      <c r="P1209" s="78" t="s">
        <v>501</v>
      </c>
      <c r="Q1209" s="78" t="s">
        <v>1002</v>
      </c>
      <c r="R1209" s="78" t="s">
        <v>1002</v>
      </c>
      <c r="S1209" s="78"/>
      <c r="T1209" s="78"/>
      <c r="U1209" s="78"/>
      <c r="V1209" s="78"/>
      <c r="W1209" s="81" t="s">
        <v>1674</v>
      </c>
      <c r="X1209" s="81" t="s">
        <v>1674</v>
      </c>
      <c r="Y1209" s="78"/>
      <c r="Z1209" s="78"/>
      <c r="AA1209" s="81" t="s">
        <v>1674</v>
      </c>
      <c r="AB1209" s="79">
        <v>1</v>
      </c>
      <c r="AC1209" s="80" t="str">
        <f>REPLACE(INDEX(GroupVertices[Group],MATCH("~"&amp;Edges[[#This Row],[Vertex 1]],GroupVertices[Vertex],0)),1,1,"")</f>
        <v>1</v>
      </c>
      <c r="AD1209" s="80" t="str">
        <f>REPLACE(INDEX(GroupVertices[Group],MATCH("~"&amp;Edges[[#This Row],[Vertex 2]],GroupVertices[Vertex],0)),1,1,"")</f>
        <v>1</v>
      </c>
      <c r="AE1209" s="105"/>
      <c r="AF1209" s="105"/>
      <c r="AG1209" s="105"/>
      <c r="AH1209" s="105"/>
      <c r="AI1209" s="105"/>
      <c r="AJ1209" s="105"/>
      <c r="AK1209" s="105"/>
      <c r="AL1209" s="105"/>
      <c r="AM1209" s="105"/>
    </row>
    <row r="1210" spans="1:39" ht="15">
      <c r="A1210" s="62" t="s">
        <v>289</v>
      </c>
      <c r="B1210" s="62" t="s">
        <v>277</v>
      </c>
      <c r="C1210" s="63" t="s">
        <v>3598</v>
      </c>
      <c r="D1210" s="64">
        <v>5</v>
      </c>
      <c r="E1210" s="65" t="s">
        <v>132</v>
      </c>
      <c r="F1210" s="66">
        <v>32</v>
      </c>
      <c r="G1210" s="63"/>
      <c r="H1210" s="67"/>
      <c r="I1210" s="68"/>
      <c r="J1210" s="68"/>
      <c r="K1210" s="31" t="s">
        <v>65</v>
      </c>
      <c r="L1210" s="76">
        <v>1210</v>
      </c>
      <c r="M1210" s="76"/>
      <c r="N1210" s="70"/>
      <c r="O1210" s="78" t="s">
        <v>305</v>
      </c>
      <c r="P1210" s="78" t="s">
        <v>625</v>
      </c>
      <c r="Q1210" s="78" t="s">
        <v>1214</v>
      </c>
      <c r="R1210" s="78" t="s">
        <v>1213</v>
      </c>
      <c r="S1210" s="78"/>
      <c r="T1210" s="78"/>
      <c r="U1210" s="78"/>
      <c r="V1210" s="78"/>
      <c r="W1210" s="81" t="s">
        <v>1674</v>
      </c>
      <c r="X1210" s="81" t="s">
        <v>1674</v>
      </c>
      <c r="Y1210" s="78"/>
      <c r="Z1210" s="78"/>
      <c r="AA1210" s="81" t="s">
        <v>1674</v>
      </c>
      <c r="AB1210" s="79">
        <v>1</v>
      </c>
      <c r="AC1210" s="80" t="str">
        <f>REPLACE(INDEX(GroupVertices[Group],MATCH("~"&amp;Edges[[#This Row],[Vertex 1]],GroupVertices[Vertex],0)),1,1,"")</f>
        <v>3</v>
      </c>
      <c r="AD1210" s="80" t="str">
        <f>REPLACE(INDEX(GroupVertices[Group],MATCH("~"&amp;Edges[[#This Row],[Vertex 2]],GroupVertices[Vertex],0)),1,1,"")</f>
        <v>1</v>
      </c>
      <c r="AE1210" s="105"/>
      <c r="AF1210" s="105"/>
      <c r="AG1210" s="105"/>
      <c r="AH1210" s="105"/>
      <c r="AI1210" s="105"/>
      <c r="AJ1210" s="105"/>
      <c r="AK1210" s="105"/>
      <c r="AL1210" s="105"/>
      <c r="AM1210" s="105"/>
    </row>
    <row r="1211" spans="1:39" ht="15">
      <c r="A1211" s="62" t="s">
        <v>286</v>
      </c>
      <c r="B1211" s="62" t="s">
        <v>280</v>
      </c>
      <c r="C1211" s="63" t="s">
        <v>3598</v>
      </c>
      <c r="D1211" s="64">
        <v>5</v>
      </c>
      <c r="E1211" s="65" t="s">
        <v>132</v>
      </c>
      <c r="F1211" s="66">
        <v>32</v>
      </c>
      <c r="G1211" s="63"/>
      <c r="H1211" s="67"/>
      <c r="I1211" s="68"/>
      <c r="J1211" s="68"/>
      <c r="K1211" s="31" t="s">
        <v>65</v>
      </c>
      <c r="L1211" s="76">
        <v>1211</v>
      </c>
      <c r="M1211" s="76"/>
      <c r="N1211" s="70"/>
      <c r="O1211" s="78" t="s">
        <v>305</v>
      </c>
      <c r="P1211" s="78" t="s">
        <v>620</v>
      </c>
      <c r="Q1211" s="78" t="s">
        <v>1235</v>
      </c>
      <c r="R1211" s="78" t="s">
        <v>1615</v>
      </c>
      <c r="S1211" s="78"/>
      <c r="T1211" s="78"/>
      <c r="U1211" s="78"/>
      <c r="V1211" s="78"/>
      <c r="W1211" s="81" t="s">
        <v>1674</v>
      </c>
      <c r="X1211" s="81" t="s">
        <v>1674</v>
      </c>
      <c r="Y1211" s="78"/>
      <c r="Z1211" s="78"/>
      <c r="AA1211" s="81" t="s">
        <v>1674</v>
      </c>
      <c r="AB1211" s="79">
        <v>1</v>
      </c>
      <c r="AC1211" s="80" t="str">
        <f>REPLACE(INDEX(GroupVertices[Group],MATCH("~"&amp;Edges[[#This Row],[Vertex 1]],GroupVertices[Vertex],0)),1,1,"")</f>
        <v>3</v>
      </c>
      <c r="AD1211" s="80" t="str">
        <f>REPLACE(INDEX(GroupVertices[Group],MATCH("~"&amp;Edges[[#This Row],[Vertex 2]],GroupVertices[Vertex],0)),1,1,"")</f>
        <v>3</v>
      </c>
      <c r="AE1211" s="105"/>
      <c r="AF1211" s="105"/>
      <c r="AG1211" s="105"/>
      <c r="AH1211" s="105"/>
      <c r="AI1211" s="105"/>
      <c r="AJ1211" s="105"/>
      <c r="AK1211" s="105"/>
      <c r="AL1211" s="105"/>
      <c r="AM1211" s="105"/>
    </row>
    <row r="1212" spans="1:39" ht="15">
      <c r="A1212" s="62" t="s">
        <v>289</v>
      </c>
      <c r="B1212" s="62" t="s">
        <v>280</v>
      </c>
      <c r="C1212" s="63" t="s">
        <v>3598</v>
      </c>
      <c r="D1212" s="64">
        <v>5</v>
      </c>
      <c r="E1212" s="65" t="s">
        <v>132</v>
      </c>
      <c r="F1212" s="66">
        <v>32</v>
      </c>
      <c r="G1212" s="63"/>
      <c r="H1212" s="67"/>
      <c r="I1212" s="68"/>
      <c r="J1212" s="68"/>
      <c r="K1212" s="31" t="s">
        <v>65</v>
      </c>
      <c r="L1212" s="76">
        <v>1212</v>
      </c>
      <c r="M1212" s="76"/>
      <c r="N1212" s="70"/>
      <c r="O1212" s="78" t="s">
        <v>305</v>
      </c>
      <c r="P1212" s="78" t="s">
        <v>641</v>
      </c>
      <c r="Q1212" s="78" t="s">
        <v>1236</v>
      </c>
      <c r="R1212" s="78" t="s">
        <v>1236</v>
      </c>
      <c r="S1212" s="78"/>
      <c r="T1212" s="78"/>
      <c r="U1212" s="78"/>
      <c r="V1212" s="78"/>
      <c r="W1212" s="81" t="s">
        <v>1674</v>
      </c>
      <c r="X1212" s="81" t="s">
        <v>1674</v>
      </c>
      <c r="Y1212" s="78"/>
      <c r="Z1212" s="78"/>
      <c r="AA1212" s="81" t="s">
        <v>1674</v>
      </c>
      <c r="AB1212" s="79">
        <v>1</v>
      </c>
      <c r="AC1212" s="80" t="str">
        <f>REPLACE(INDEX(GroupVertices[Group],MATCH("~"&amp;Edges[[#This Row],[Vertex 1]],GroupVertices[Vertex],0)),1,1,"")</f>
        <v>3</v>
      </c>
      <c r="AD1212" s="80" t="str">
        <f>REPLACE(INDEX(GroupVertices[Group],MATCH("~"&amp;Edges[[#This Row],[Vertex 2]],GroupVertices[Vertex],0)),1,1,"")</f>
        <v>3</v>
      </c>
      <c r="AE1212" s="105"/>
      <c r="AF1212" s="105"/>
      <c r="AG1212" s="105"/>
      <c r="AH1212" s="105"/>
      <c r="AI1212" s="105"/>
      <c r="AJ1212" s="105"/>
      <c r="AK1212" s="105"/>
      <c r="AL1212" s="105"/>
      <c r="AM1212" s="105"/>
    </row>
    <row r="1213" spans="1:39" ht="15">
      <c r="A1213" s="62" t="s">
        <v>289</v>
      </c>
      <c r="B1213" s="62" t="s">
        <v>284</v>
      </c>
      <c r="C1213" s="63" t="s">
        <v>3598</v>
      </c>
      <c r="D1213" s="64">
        <v>5.2631578947368425</v>
      </c>
      <c r="E1213" s="65" t="s">
        <v>136</v>
      </c>
      <c r="F1213" s="66">
        <v>31.50943396226415</v>
      </c>
      <c r="G1213" s="63"/>
      <c r="H1213" s="67"/>
      <c r="I1213" s="68"/>
      <c r="J1213" s="68"/>
      <c r="K1213" s="31" t="s">
        <v>65</v>
      </c>
      <c r="L1213" s="76">
        <v>1213</v>
      </c>
      <c r="M1213" s="76"/>
      <c r="N1213" s="70"/>
      <c r="O1213" s="78" t="s">
        <v>305</v>
      </c>
      <c r="P1213" s="78" t="s">
        <v>626</v>
      </c>
      <c r="Q1213" s="78" t="s">
        <v>1219</v>
      </c>
      <c r="R1213" s="78" t="s">
        <v>1218</v>
      </c>
      <c r="S1213" s="78"/>
      <c r="T1213" s="78"/>
      <c r="U1213" s="78"/>
      <c r="V1213" s="78"/>
      <c r="W1213" s="81" t="s">
        <v>1674</v>
      </c>
      <c r="X1213" s="81" t="s">
        <v>1674</v>
      </c>
      <c r="Y1213" s="78"/>
      <c r="Z1213" s="78"/>
      <c r="AA1213" s="81" t="s">
        <v>1674</v>
      </c>
      <c r="AB1213" s="79">
        <v>2</v>
      </c>
      <c r="AC1213" s="80" t="str">
        <f>REPLACE(INDEX(GroupVertices[Group],MATCH("~"&amp;Edges[[#This Row],[Vertex 1]],GroupVertices[Vertex],0)),1,1,"")</f>
        <v>3</v>
      </c>
      <c r="AD1213" s="80" t="str">
        <f>REPLACE(INDEX(GroupVertices[Group],MATCH("~"&amp;Edges[[#This Row],[Vertex 2]],GroupVertices[Vertex],0)),1,1,"")</f>
        <v>1</v>
      </c>
      <c r="AE1213" s="105"/>
      <c r="AF1213" s="105"/>
      <c r="AG1213" s="105"/>
      <c r="AH1213" s="105"/>
      <c r="AI1213" s="105"/>
      <c r="AJ1213" s="105"/>
      <c r="AK1213" s="105"/>
      <c r="AL1213" s="105"/>
      <c r="AM1213" s="105"/>
    </row>
    <row r="1214" spans="1:39" ht="15">
      <c r="A1214" s="62" t="s">
        <v>289</v>
      </c>
      <c r="B1214" s="62" t="s">
        <v>284</v>
      </c>
      <c r="C1214" s="63" t="s">
        <v>3598</v>
      </c>
      <c r="D1214" s="64">
        <v>5.2631578947368425</v>
      </c>
      <c r="E1214" s="65" t="s">
        <v>136</v>
      </c>
      <c r="F1214" s="66">
        <v>31.50943396226415</v>
      </c>
      <c r="G1214" s="63"/>
      <c r="H1214" s="67"/>
      <c r="I1214" s="68"/>
      <c r="J1214" s="68"/>
      <c r="K1214" s="31" t="s">
        <v>65</v>
      </c>
      <c r="L1214" s="76">
        <v>1214</v>
      </c>
      <c r="M1214" s="76"/>
      <c r="N1214" s="70"/>
      <c r="O1214" s="78" t="s">
        <v>305</v>
      </c>
      <c r="P1214" s="78" t="s">
        <v>626</v>
      </c>
      <c r="Q1214" s="78" t="s">
        <v>1220</v>
      </c>
      <c r="R1214" s="78" t="s">
        <v>1218</v>
      </c>
      <c r="S1214" s="78"/>
      <c r="T1214" s="78"/>
      <c r="U1214" s="78"/>
      <c r="V1214" s="78"/>
      <c r="W1214" s="81" t="s">
        <v>1674</v>
      </c>
      <c r="X1214" s="81" t="s">
        <v>1674</v>
      </c>
      <c r="Y1214" s="78"/>
      <c r="Z1214" s="78"/>
      <c r="AA1214" s="81" t="s">
        <v>1674</v>
      </c>
      <c r="AB1214" s="79">
        <v>2</v>
      </c>
      <c r="AC1214" s="80" t="str">
        <f>REPLACE(INDEX(GroupVertices[Group],MATCH("~"&amp;Edges[[#This Row],[Vertex 1]],GroupVertices[Vertex],0)),1,1,"")</f>
        <v>3</v>
      </c>
      <c r="AD1214" s="80" t="str">
        <f>REPLACE(INDEX(GroupVertices[Group],MATCH("~"&amp;Edges[[#This Row],[Vertex 2]],GroupVertices[Vertex],0)),1,1,"")</f>
        <v>1</v>
      </c>
      <c r="AE1214" s="105"/>
      <c r="AF1214" s="105"/>
      <c r="AG1214" s="105"/>
      <c r="AH1214" s="105"/>
      <c r="AI1214" s="105"/>
      <c r="AJ1214" s="105"/>
      <c r="AK1214" s="105"/>
      <c r="AL1214" s="105"/>
      <c r="AM1214" s="105"/>
    </row>
    <row r="1215" spans="1:39" ht="15">
      <c r="A1215" s="62" t="s">
        <v>289</v>
      </c>
      <c r="B1215" s="62" t="s">
        <v>286</v>
      </c>
      <c r="C1215" s="63" t="s">
        <v>3598</v>
      </c>
      <c r="D1215" s="64">
        <v>5.2631578947368425</v>
      </c>
      <c r="E1215" s="65" t="s">
        <v>136</v>
      </c>
      <c r="F1215" s="66">
        <v>31.50943396226415</v>
      </c>
      <c r="G1215" s="63"/>
      <c r="H1215" s="67"/>
      <c r="I1215" s="68"/>
      <c r="J1215" s="68"/>
      <c r="K1215" s="31" t="s">
        <v>65</v>
      </c>
      <c r="L1215" s="76">
        <v>1215</v>
      </c>
      <c r="M1215" s="76"/>
      <c r="N1215" s="70"/>
      <c r="O1215" s="78" t="s">
        <v>305</v>
      </c>
      <c r="P1215" s="78" t="s">
        <v>642</v>
      </c>
      <c r="Q1215" s="78" t="s">
        <v>1237</v>
      </c>
      <c r="R1215" s="78" t="s">
        <v>1641</v>
      </c>
      <c r="S1215" s="78"/>
      <c r="T1215" s="78"/>
      <c r="U1215" s="78"/>
      <c r="V1215" s="78"/>
      <c r="W1215" s="81" t="s">
        <v>1674</v>
      </c>
      <c r="X1215" s="81" t="s">
        <v>1674</v>
      </c>
      <c r="Y1215" s="78"/>
      <c r="Z1215" s="78"/>
      <c r="AA1215" s="81" t="s">
        <v>1674</v>
      </c>
      <c r="AB1215" s="79">
        <v>2</v>
      </c>
      <c r="AC1215" s="80" t="str">
        <f>REPLACE(INDEX(GroupVertices[Group],MATCH("~"&amp;Edges[[#This Row],[Vertex 1]],GroupVertices[Vertex],0)),1,1,"")</f>
        <v>3</v>
      </c>
      <c r="AD1215" s="80" t="str">
        <f>REPLACE(INDEX(GroupVertices[Group],MATCH("~"&amp;Edges[[#This Row],[Vertex 2]],GroupVertices[Vertex],0)),1,1,"")</f>
        <v>3</v>
      </c>
      <c r="AE1215" s="105"/>
      <c r="AF1215" s="105"/>
      <c r="AG1215" s="105"/>
      <c r="AH1215" s="105"/>
      <c r="AI1215" s="105"/>
      <c r="AJ1215" s="105"/>
      <c r="AK1215" s="105"/>
      <c r="AL1215" s="105"/>
      <c r="AM1215" s="105"/>
    </row>
    <row r="1216" spans="1:39" ht="15">
      <c r="A1216" s="62" t="s">
        <v>289</v>
      </c>
      <c r="B1216" s="62" t="s">
        <v>286</v>
      </c>
      <c r="C1216" s="63" t="s">
        <v>3598</v>
      </c>
      <c r="D1216" s="64">
        <v>5.2631578947368425</v>
      </c>
      <c r="E1216" s="65" t="s">
        <v>136</v>
      </c>
      <c r="F1216" s="66">
        <v>31.50943396226415</v>
      </c>
      <c r="G1216" s="63"/>
      <c r="H1216" s="67"/>
      <c r="I1216" s="68"/>
      <c r="J1216" s="68"/>
      <c r="K1216" s="31" t="s">
        <v>65</v>
      </c>
      <c r="L1216" s="76">
        <v>1216</v>
      </c>
      <c r="M1216" s="76"/>
      <c r="N1216" s="70"/>
      <c r="O1216" s="78" t="s">
        <v>305</v>
      </c>
      <c r="P1216" s="78" t="s">
        <v>642</v>
      </c>
      <c r="Q1216" s="78" t="s">
        <v>1237</v>
      </c>
      <c r="R1216" s="78" t="s">
        <v>1642</v>
      </c>
      <c r="S1216" s="78"/>
      <c r="T1216" s="78"/>
      <c r="U1216" s="78"/>
      <c r="V1216" s="78"/>
      <c r="W1216" s="81" t="s">
        <v>1674</v>
      </c>
      <c r="X1216" s="81" t="s">
        <v>1674</v>
      </c>
      <c r="Y1216" s="78"/>
      <c r="Z1216" s="78"/>
      <c r="AA1216" s="81" t="s">
        <v>1674</v>
      </c>
      <c r="AB1216" s="79">
        <v>2</v>
      </c>
      <c r="AC1216" s="80" t="str">
        <f>REPLACE(INDEX(GroupVertices[Group],MATCH("~"&amp;Edges[[#This Row],[Vertex 1]],GroupVertices[Vertex],0)),1,1,"")</f>
        <v>3</v>
      </c>
      <c r="AD1216" s="80" t="str">
        <f>REPLACE(INDEX(GroupVertices[Group],MATCH("~"&amp;Edges[[#This Row],[Vertex 2]],GroupVertices[Vertex],0)),1,1,"")</f>
        <v>3</v>
      </c>
      <c r="AE1216" s="105"/>
      <c r="AF1216" s="105"/>
      <c r="AG1216" s="105"/>
      <c r="AH1216" s="105"/>
      <c r="AI1216" s="105"/>
      <c r="AJ1216" s="105"/>
      <c r="AK1216" s="105"/>
      <c r="AL1216" s="105"/>
      <c r="AM1216" s="10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6"/>
    <dataValidation allowBlank="1" showErrorMessage="1" sqref="N2:N1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6"/>
    <dataValidation allowBlank="1" showInputMessage="1" promptTitle="Edge Color" prompt="To select an optional edge color, right-click and select Select Color on the right-click menu." sqref="C3:C1216"/>
    <dataValidation allowBlank="1" showInputMessage="1" promptTitle="Edge Width" prompt="Enter an optional edge width between 1 and 10." errorTitle="Invalid Edge Width" error="The optional edge width must be a whole number between 1 and 10." sqref="D3:D1216"/>
    <dataValidation allowBlank="1" showInputMessage="1" promptTitle="Edge Opacity" prompt="Enter an optional edge opacity between 0 (transparent) and 100 (opaque)." errorTitle="Invalid Edge Opacity" error="The optional edge opacity must be a whole number between 0 and 10." sqref="F3:F1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6">
      <formula1>ValidEdgeVisibilities</formula1>
    </dataValidation>
    <dataValidation allowBlank="1" showInputMessage="1" showErrorMessage="1" promptTitle="Vertex 1 Name" prompt="Enter the name of the edge's first vertex." sqref="A3:A1216"/>
    <dataValidation allowBlank="1" showInputMessage="1" showErrorMessage="1" promptTitle="Vertex 2 Name" prompt="Enter the name of the edge's second vertex." sqref="B3:B1216"/>
    <dataValidation allowBlank="1" showInputMessage="1" showErrorMessage="1" promptTitle="Edge Label" prompt="Enter an optional edge label." errorTitle="Invalid Edge Visibility" error="You have entered an unrecognized edge visibility.  Try selecting from the drop-down list instead." sqref="H3:H1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A6BC5-DFFD-4185-9CEF-4D039835E8AB}">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3394</v>
      </c>
      <c r="B2" s="108" t="s">
        <v>3395</v>
      </c>
      <c r="C2" s="51" t="s">
        <v>3396</v>
      </c>
    </row>
    <row r="3" spans="1:3" ht="15">
      <c r="A3" s="107" t="s">
        <v>2184</v>
      </c>
      <c r="B3" s="107" t="s">
        <v>2184</v>
      </c>
      <c r="C3" s="31">
        <v>292</v>
      </c>
    </row>
    <row r="4" spans="1:3" ht="15">
      <c r="A4" s="107" t="s">
        <v>2184</v>
      </c>
      <c r="B4" s="107" t="s">
        <v>2185</v>
      </c>
      <c r="C4" s="31">
        <v>89</v>
      </c>
    </row>
    <row r="5" spans="1:3" ht="15">
      <c r="A5" s="107" t="s">
        <v>2184</v>
      </c>
      <c r="B5" s="107" t="s">
        <v>2186</v>
      </c>
      <c r="C5" s="31">
        <v>32</v>
      </c>
    </row>
    <row r="6" spans="1:3" ht="15">
      <c r="A6" s="107" t="s">
        <v>2184</v>
      </c>
      <c r="B6" s="107" t="s">
        <v>2188</v>
      </c>
      <c r="C6" s="31">
        <v>42</v>
      </c>
    </row>
    <row r="7" spans="1:3" ht="15">
      <c r="A7" s="107" t="s">
        <v>2184</v>
      </c>
      <c r="B7" s="107" t="s">
        <v>2189</v>
      </c>
      <c r="C7" s="31">
        <v>21</v>
      </c>
    </row>
    <row r="8" spans="1:3" ht="15">
      <c r="A8" s="107" t="s">
        <v>2184</v>
      </c>
      <c r="B8" s="107" t="s">
        <v>2190</v>
      </c>
      <c r="C8" s="31">
        <v>2</v>
      </c>
    </row>
    <row r="9" spans="1:3" ht="15">
      <c r="A9" s="107" t="s">
        <v>2184</v>
      </c>
      <c r="B9" s="107" t="s">
        <v>2191</v>
      </c>
      <c r="C9" s="31">
        <v>2</v>
      </c>
    </row>
    <row r="10" spans="1:3" ht="15">
      <c r="A10" s="107" t="s">
        <v>2185</v>
      </c>
      <c r="B10" s="107" t="s">
        <v>2184</v>
      </c>
      <c r="C10" s="31">
        <v>26</v>
      </c>
    </row>
    <row r="11" spans="1:3" ht="15">
      <c r="A11" s="107" t="s">
        <v>2185</v>
      </c>
      <c r="B11" s="107" t="s">
        <v>2185</v>
      </c>
      <c r="C11" s="31">
        <v>285</v>
      </c>
    </row>
    <row r="12" spans="1:3" ht="15">
      <c r="A12" s="107" t="s">
        <v>2185</v>
      </c>
      <c r="B12" s="107" t="s">
        <v>2186</v>
      </c>
      <c r="C12" s="31">
        <v>11</v>
      </c>
    </row>
    <row r="13" spans="1:3" ht="15">
      <c r="A13" s="107" t="s">
        <v>2185</v>
      </c>
      <c r="B13" s="107" t="s">
        <v>2188</v>
      </c>
      <c r="C13" s="31">
        <v>50</v>
      </c>
    </row>
    <row r="14" spans="1:3" ht="15">
      <c r="A14" s="107" t="s">
        <v>2185</v>
      </c>
      <c r="B14" s="107" t="s">
        <v>2189</v>
      </c>
      <c r="C14" s="31">
        <v>1</v>
      </c>
    </row>
    <row r="15" spans="1:3" ht="15">
      <c r="A15" s="107" t="s">
        <v>2185</v>
      </c>
      <c r="B15" s="107" t="s">
        <v>2191</v>
      </c>
      <c r="C15" s="31">
        <v>3</v>
      </c>
    </row>
    <row r="16" spans="1:3" ht="15">
      <c r="A16" s="107" t="s">
        <v>2186</v>
      </c>
      <c r="B16" s="107" t="s">
        <v>2184</v>
      </c>
      <c r="C16" s="31">
        <v>53</v>
      </c>
    </row>
    <row r="17" spans="1:3" ht="15">
      <c r="A17" s="107" t="s">
        <v>2186</v>
      </c>
      <c r="B17" s="107" t="s">
        <v>2185</v>
      </c>
      <c r="C17" s="31">
        <v>22</v>
      </c>
    </row>
    <row r="18" spans="1:3" ht="15">
      <c r="A18" s="107" t="s">
        <v>2186</v>
      </c>
      <c r="B18" s="107" t="s">
        <v>2186</v>
      </c>
      <c r="C18" s="31">
        <v>86</v>
      </c>
    </row>
    <row r="19" spans="1:3" ht="15">
      <c r="A19" s="107" t="s">
        <v>2186</v>
      </c>
      <c r="B19" s="107" t="s">
        <v>2188</v>
      </c>
      <c r="C19" s="31">
        <v>16</v>
      </c>
    </row>
    <row r="20" spans="1:3" ht="15">
      <c r="A20" s="107" t="s">
        <v>2186</v>
      </c>
      <c r="B20" s="107" t="s">
        <v>2189</v>
      </c>
      <c r="C20" s="31">
        <v>3</v>
      </c>
    </row>
    <row r="21" spans="1:3" ht="15">
      <c r="A21" s="107" t="s">
        <v>2186</v>
      </c>
      <c r="B21" s="107" t="s">
        <v>2191</v>
      </c>
      <c r="C21" s="31">
        <v>1</v>
      </c>
    </row>
    <row r="22" spans="1:3" ht="15">
      <c r="A22" s="107" t="s">
        <v>2188</v>
      </c>
      <c r="B22" s="107" t="s">
        <v>2184</v>
      </c>
      <c r="C22" s="31">
        <v>19</v>
      </c>
    </row>
    <row r="23" spans="1:3" ht="15">
      <c r="A23" s="107" t="s">
        <v>2188</v>
      </c>
      <c r="B23" s="107" t="s">
        <v>2185</v>
      </c>
      <c r="C23" s="31">
        <v>26</v>
      </c>
    </row>
    <row r="24" spans="1:3" ht="15">
      <c r="A24" s="107" t="s">
        <v>2188</v>
      </c>
      <c r="B24" s="107" t="s">
        <v>2186</v>
      </c>
      <c r="C24" s="31">
        <v>1</v>
      </c>
    </row>
    <row r="25" spans="1:3" ht="15">
      <c r="A25" s="107" t="s">
        <v>2188</v>
      </c>
      <c r="B25" s="107" t="s">
        <v>2188</v>
      </c>
      <c r="C25" s="31">
        <v>59</v>
      </c>
    </row>
    <row r="26" spans="1:3" ht="15">
      <c r="A26" s="107" t="s">
        <v>2188</v>
      </c>
      <c r="B26" s="107" t="s">
        <v>2189</v>
      </c>
      <c r="C26" s="31">
        <v>1</v>
      </c>
    </row>
    <row r="27" spans="1:3" ht="15">
      <c r="A27" s="107" t="s">
        <v>2189</v>
      </c>
      <c r="B27" s="107" t="s">
        <v>2184</v>
      </c>
      <c r="C27" s="31">
        <v>6</v>
      </c>
    </row>
    <row r="28" spans="1:3" ht="15">
      <c r="A28" s="107" t="s">
        <v>2189</v>
      </c>
      <c r="B28" s="107" t="s">
        <v>2185</v>
      </c>
      <c r="C28" s="31">
        <v>33</v>
      </c>
    </row>
    <row r="29" spans="1:3" ht="15">
      <c r="A29" s="107" t="s">
        <v>2189</v>
      </c>
      <c r="B29" s="107" t="s">
        <v>2186</v>
      </c>
      <c r="C29" s="31">
        <v>3</v>
      </c>
    </row>
    <row r="30" spans="1:3" ht="15">
      <c r="A30" s="107" t="s">
        <v>2189</v>
      </c>
      <c r="B30" s="107" t="s">
        <v>2188</v>
      </c>
      <c r="C30" s="31">
        <v>5</v>
      </c>
    </row>
    <row r="31" spans="1:3" ht="15">
      <c r="A31" s="107" t="s">
        <v>2189</v>
      </c>
      <c r="B31" s="107" t="s">
        <v>2189</v>
      </c>
      <c r="C31" s="31">
        <v>7</v>
      </c>
    </row>
    <row r="32" spans="1:3" ht="15">
      <c r="A32" s="107" t="s">
        <v>2190</v>
      </c>
      <c r="B32" s="107" t="s">
        <v>2190</v>
      </c>
      <c r="C32" s="31">
        <v>13</v>
      </c>
    </row>
    <row r="33" spans="1:3" ht="15">
      <c r="A33" s="107" t="s">
        <v>2191</v>
      </c>
      <c r="B33" s="107" t="s">
        <v>2184</v>
      </c>
      <c r="C33" s="31">
        <v>2</v>
      </c>
    </row>
    <row r="34" spans="1:3" ht="15">
      <c r="A34" s="107" t="s">
        <v>2191</v>
      </c>
      <c r="B34" s="107" t="s">
        <v>2191</v>
      </c>
      <c r="C34" s="31">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BE191-CEFD-445F-A16F-D72AFFDB19E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3417</v>
      </c>
      <c r="B1" s="7" t="s">
        <v>17</v>
      </c>
    </row>
    <row r="2" spans="1:2" ht="15">
      <c r="A2" s="77" t="s">
        <v>3418</v>
      </c>
      <c r="B2" s="77"/>
    </row>
    <row r="3" spans="1:2" ht="15">
      <c r="A3" s="78" t="s">
        <v>3419</v>
      </c>
      <c r="B3" s="77"/>
    </row>
    <row r="4" spans="1:2" ht="15">
      <c r="A4" s="78" t="s">
        <v>3420</v>
      </c>
      <c r="B4" s="77"/>
    </row>
    <row r="5" spans="1:2" ht="15">
      <c r="A5" s="78" t="s">
        <v>3421</v>
      </c>
      <c r="B5" s="77"/>
    </row>
    <row r="6" spans="1:2" ht="15">
      <c r="A6" s="78" t="s">
        <v>3422</v>
      </c>
      <c r="B6" s="77"/>
    </row>
    <row r="7" spans="1:2" ht="15">
      <c r="A7" s="78" t="s">
        <v>3423</v>
      </c>
      <c r="B7" s="77"/>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AD6F2-8E99-4742-B4D2-CBF00CAB12A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3424</v>
      </c>
      <c r="B1" s="7" t="s">
        <v>34</v>
      </c>
    </row>
    <row r="2" spans="1:2" ht="15">
      <c r="A2" s="99" t="s">
        <v>235</v>
      </c>
      <c r="B2" s="77">
        <v>916.710429</v>
      </c>
    </row>
    <row r="3" spans="1:2" ht="15">
      <c r="A3" s="102" t="s">
        <v>223</v>
      </c>
      <c r="B3" s="77">
        <v>494.767061</v>
      </c>
    </row>
    <row r="4" spans="1:2" ht="15">
      <c r="A4" s="102" t="s">
        <v>249</v>
      </c>
      <c r="B4" s="77">
        <v>402.422995</v>
      </c>
    </row>
    <row r="5" spans="1:2" ht="15">
      <c r="A5" s="102" t="s">
        <v>260</v>
      </c>
      <c r="B5" s="77">
        <v>393.856975</v>
      </c>
    </row>
    <row r="6" spans="1:2" ht="15">
      <c r="A6" s="102" t="s">
        <v>246</v>
      </c>
      <c r="B6" s="77">
        <v>364.568578</v>
      </c>
    </row>
    <row r="7" spans="1:2" ht="15">
      <c r="A7" s="102" t="s">
        <v>228</v>
      </c>
      <c r="B7" s="77">
        <v>361.574413</v>
      </c>
    </row>
    <row r="8" spans="1:2" ht="15">
      <c r="A8" s="102" t="s">
        <v>280</v>
      </c>
      <c r="B8" s="77">
        <v>322.554882</v>
      </c>
    </row>
    <row r="9" spans="1:2" ht="15">
      <c r="A9" s="102" t="s">
        <v>231</v>
      </c>
      <c r="B9" s="77">
        <v>320</v>
      </c>
    </row>
    <row r="10" spans="1:2" ht="15">
      <c r="A10" s="102" t="s">
        <v>291</v>
      </c>
      <c r="B10" s="77">
        <v>320</v>
      </c>
    </row>
    <row r="11" spans="1:2" ht="15">
      <c r="A11" s="102" t="s">
        <v>268</v>
      </c>
      <c r="B11" s="77">
        <v>283.17258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5C87D-7417-4490-94EE-0B3B7E3381AA}">
  <dimension ref="A1:R46"/>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 min="7" max="7" width="36.7109375" style="0" customWidth="1"/>
    <col min="8" max="8" width="11.28125" style="0" bestFit="1" customWidth="1"/>
    <col min="9" max="9" width="36.7109375" style="0" customWidth="1"/>
    <col min="10" max="10" width="11.28125" style="0" bestFit="1" customWidth="1"/>
    <col min="11" max="11" width="36.7109375" style="0" customWidth="1"/>
    <col min="12" max="12" width="11.28125" style="0" bestFit="1" customWidth="1"/>
    <col min="13" max="13" width="36.7109375" style="0" customWidth="1"/>
    <col min="14" max="14" width="11.28125" style="0" bestFit="1" customWidth="1"/>
    <col min="15" max="15" width="36.7109375" style="0" customWidth="1"/>
    <col min="16" max="16" width="11.28125" style="0" bestFit="1" customWidth="1"/>
    <col min="17" max="17" width="36.7109375" style="0" customWidth="1"/>
    <col min="18" max="18" width="11.28125" style="0" bestFit="1" customWidth="1"/>
  </cols>
  <sheetData>
    <row r="1" spans="1:18" ht="15" customHeight="1">
      <c r="A1" s="7" t="s">
        <v>3425</v>
      </c>
      <c r="B1" s="7" t="s">
        <v>3436</v>
      </c>
      <c r="C1" s="7" t="s">
        <v>3437</v>
      </c>
      <c r="D1" s="7" t="s">
        <v>3441</v>
      </c>
      <c r="E1" s="7" t="s">
        <v>3440</v>
      </c>
      <c r="F1" s="7" t="s">
        <v>3446</v>
      </c>
      <c r="G1" s="7" t="s">
        <v>3445</v>
      </c>
      <c r="H1" s="7" t="s">
        <v>3449</v>
      </c>
      <c r="I1" s="77" t="s">
        <v>3448</v>
      </c>
      <c r="J1" s="77" t="s">
        <v>3451</v>
      </c>
      <c r="K1" s="7" t="s">
        <v>3450</v>
      </c>
      <c r="L1" s="7" t="s">
        <v>3454</v>
      </c>
      <c r="M1" s="7" t="s">
        <v>3453</v>
      </c>
      <c r="N1" s="7" t="s">
        <v>3457</v>
      </c>
      <c r="O1" s="77" t="s">
        <v>3456</v>
      </c>
      <c r="P1" s="77" t="s">
        <v>3459</v>
      </c>
      <c r="Q1" s="77" t="s">
        <v>3458</v>
      </c>
      <c r="R1" s="77" t="s">
        <v>3460</v>
      </c>
    </row>
    <row r="2" spans="1:18" ht="15">
      <c r="A2" s="98" t="s">
        <v>3426</v>
      </c>
      <c r="B2" s="77">
        <v>5</v>
      </c>
      <c r="C2" s="98" t="s">
        <v>3426</v>
      </c>
      <c r="D2" s="77">
        <v>5</v>
      </c>
      <c r="E2" s="98" t="s">
        <v>3435</v>
      </c>
      <c r="F2" s="77">
        <v>1</v>
      </c>
      <c r="G2" s="98" t="s">
        <v>3429</v>
      </c>
      <c r="H2" s="77">
        <v>2</v>
      </c>
      <c r="I2" s="77"/>
      <c r="J2" s="77"/>
      <c r="K2" s="98" t="s">
        <v>3452</v>
      </c>
      <c r="L2" s="77">
        <v>1</v>
      </c>
      <c r="M2" s="98" t="s">
        <v>3455</v>
      </c>
      <c r="N2" s="77">
        <v>1</v>
      </c>
      <c r="O2" s="77"/>
      <c r="P2" s="77"/>
      <c r="Q2" s="77"/>
      <c r="R2" s="77"/>
    </row>
    <row r="3" spans="1:18" ht="15">
      <c r="A3" s="110" t="s">
        <v>3427</v>
      </c>
      <c r="B3" s="77">
        <v>3</v>
      </c>
      <c r="C3" s="98" t="s">
        <v>3427</v>
      </c>
      <c r="D3" s="77">
        <v>3</v>
      </c>
      <c r="E3" s="98" t="s">
        <v>3442</v>
      </c>
      <c r="F3" s="77">
        <v>1</v>
      </c>
      <c r="G3" s="77" t="s">
        <v>3428</v>
      </c>
      <c r="H3" s="77">
        <v>2</v>
      </c>
      <c r="I3" s="77"/>
      <c r="J3" s="77"/>
      <c r="K3" s="77"/>
      <c r="L3" s="77"/>
      <c r="M3" s="77"/>
      <c r="N3" s="77"/>
      <c r="O3" s="77"/>
      <c r="P3" s="77"/>
      <c r="Q3" s="77"/>
      <c r="R3" s="77"/>
    </row>
    <row r="4" spans="1:18" ht="15">
      <c r="A4" s="78" t="s">
        <v>3428</v>
      </c>
      <c r="B4" s="77">
        <v>2</v>
      </c>
      <c r="C4" s="98" t="s">
        <v>3438</v>
      </c>
      <c r="D4" s="77">
        <v>1</v>
      </c>
      <c r="E4" s="98" t="s">
        <v>3443</v>
      </c>
      <c r="F4" s="77">
        <v>1</v>
      </c>
      <c r="G4" s="98" t="s">
        <v>3432</v>
      </c>
      <c r="H4" s="77">
        <v>1</v>
      </c>
      <c r="I4" s="77"/>
      <c r="J4" s="77"/>
      <c r="K4" s="77"/>
      <c r="L4" s="77"/>
      <c r="M4" s="77"/>
      <c r="N4" s="77"/>
      <c r="O4" s="77"/>
      <c r="P4" s="77"/>
      <c r="Q4" s="77"/>
      <c r="R4" s="77"/>
    </row>
    <row r="5" spans="1:18" ht="15">
      <c r="A5" s="110" t="s">
        <v>3429</v>
      </c>
      <c r="B5" s="77">
        <v>2</v>
      </c>
      <c r="C5" s="98" t="s">
        <v>3439</v>
      </c>
      <c r="D5" s="77">
        <v>1</v>
      </c>
      <c r="E5" s="77" t="s">
        <v>3444</v>
      </c>
      <c r="F5" s="77">
        <v>1</v>
      </c>
      <c r="G5" s="98" t="s">
        <v>3431</v>
      </c>
      <c r="H5" s="77">
        <v>1</v>
      </c>
      <c r="I5" s="77"/>
      <c r="J5" s="77"/>
      <c r="K5" s="77"/>
      <c r="L5" s="77"/>
      <c r="M5" s="77"/>
      <c r="N5" s="77"/>
      <c r="O5" s="77"/>
      <c r="P5" s="77"/>
      <c r="Q5" s="77"/>
      <c r="R5" s="77"/>
    </row>
    <row r="6" spans="1:18" ht="15">
      <c r="A6" s="110" t="s">
        <v>3430</v>
      </c>
      <c r="B6" s="77">
        <v>2</v>
      </c>
      <c r="C6" s="98" t="s">
        <v>3430</v>
      </c>
      <c r="D6" s="77">
        <v>1</v>
      </c>
      <c r="E6" s="77"/>
      <c r="F6" s="77"/>
      <c r="G6" s="98" t="s">
        <v>3447</v>
      </c>
      <c r="H6" s="77">
        <v>1</v>
      </c>
      <c r="I6" s="77"/>
      <c r="J6" s="77"/>
      <c r="K6" s="77"/>
      <c r="L6" s="77"/>
      <c r="M6" s="77"/>
      <c r="N6" s="77"/>
      <c r="O6" s="77"/>
      <c r="P6" s="77"/>
      <c r="Q6" s="77"/>
      <c r="R6" s="77"/>
    </row>
    <row r="7" spans="1:18" ht="15">
      <c r="A7" s="110" t="s">
        <v>3431</v>
      </c>
      <c r="B7" s="77">
        <v>1</v>
      </c>
      <c r="C7" s="98" t="s">
        <v>3434</v>
      </c>
      <c r="D7" s="77">
        <v>1</v>
      </c>
      <c r="E7" s="77"/>
      <c r="F7" s="77"/>
      <c r="G7" s="98" t="s">
        <v>3430</v>
      </c>
      <c r="H7" s="77">
        <v>1</v>
      </c>
      <c r="I7" s="77"/>
      <c r="J7" s="77"/>
      <c r="K7" s="77"/>
      <c r="L7" s="77"/>
      <c r="M7" s="77"/>
      <c r="N7" s="77"/>
      <c r="O7" s="77"/>
      <c r="P7" s="77"/>
      <c r="Q7" s="77"/>
      <c r="R7" s="77"/>
    </row>
    <row r="8" spans="1:18" ht="15">
      <c r="A8" s="110" t="s">
        <v>3432</v>
      </c>
      <c r="B8" s="77">
        <v>1</v>
      </c>
      <c r="C8" s="77"/>
      <c r="D8" s="77"/>
      <c r="E8" s="77"/>
      <c r="F8" s="77"/>
      <c r="G8" s="98" t="s">
        <v>3433</v>
      </c>
      <c r="H8" s="77">
        <v>1</v>
      </c>
      <c r="I8" s="77"/>
      <c r="J8" s="77"/>
      <c r="K8" s="77"/>
      <c r="L8" s="77"/>
      <c r="M8" s="77"/>
      <c r="N8" s="77"/>
      <c r="O8" s="77"/>
      <c r="P8" s="77"/>
      <c r="Q8" s="77"/>
      <c r="R8" s="77"/>
    </row>
    <row r="9" spans="1:18" ht="15">
      <c r="A9" s="110" t="s">
        <v>3433</v>
      </c>
      <c r="B9" s="77">
        <v>1</v>
      </c>
      <c r="C9" s="77"/>
      <c r="D9" s="77"/>
      <c r="E9" s="77"/>
      <c r="F9" s="77"/>
      <c r="G9" s="77"/>
      <c r="H9" s="77"/>
      <c r="I9" s="77"/>
      <c r="J9" s="77"/>
      <c r="K9" s="77"/>
      <c r="L9" s="77"/>
      <c r="M9" s="77"/>
      <c r="N9" s="77"/>
      <c r="O9" s="77"/>
      <c r="P9" s="77"/>
      <c r="Q9" s="77"/>
      <c r="R9" s="77"/>
    </row>
    <row r="10" spans="1:18" ht="15">
      <c r="A10" s="110" t="s">
        <v>3434</v>
      </c>
      <c r="B10" s="77">
        <v>1</v>
      </c>
      <c r="C10" s="77"/>
      <c r="D10" s="77"/>
      <c r="E10" s="77"/>
      <c r="F10" s="77"/>
      <c r="G10" s="77"/>
      <c r="H10" s="77"/>
      <c r="I10" s="77"/>
      <c r="J10" s="77"/>
      <c r="K10" s="77"/>
      <c r="L10" s="77"/>
      <c r="M10" s="77"/>
      <c r="N10" s="77"/>
      <c r="O10" s="77"/>
      <c r="P10" s="77"/>
      <c r="Q10" s="77"/>
      <c r="R10" s="77"/>
    </row>
    <row r="11" spans="1:18" ht="15">
      <c r="A11" s="110" t="s">
        <v>3435</v>
      </c>
      <c r="B11" s="77">
        <v>1</v>
      </c>
      <c r="C11" s="77"/>
      <c r="D11" s="77"/>
      <c r="E11" s="77"/>
      <c r="F11" s="77"/>
      <c r="G11" s="77"/>
      <c r="H11" s="77"/>
      <c r="I11" s="77"/>
      <c r="J11" s="77"/>
      <c r="K11" s="77"/>
      <c r="L11" s="77"/>
      <c r="M11" s="77"/>
      <c r="N11" s="77"/>
      <c r="O11" s="77"/>
      <c r="P11" s="77"/>
      <c r="Q11" s="77"/>
      <c r="R11" s="77"/>
    </row>
    <row r="14" spans="1:18" ht="15" customHeight="1">
      <c r="A14" s="7" t="s">
        <v>3465</v>
      </c>
      <c r="B14" s="7" t="s">
        <v>3436</v>
      </c>
      <c r="C14" s="7" t="s">
        <v>3466</v>
      </c>
      <c r="D14" s="7" t="s">
        <v>3441</v>
      </c>
      <c r="E14" s="7" t="s">
        <v>3467</v>
      </c>
      <c r="F14" s="7" t="s">
        <v>3446</v>
      </c>
      <c r="G14" s="7" t="s">
        <v>3468</v>
      </c>
      <c r="H14" s="7" t="s">
        <v>3449</v>
      </c>
      <c r="I14" s="77" t="s">
        <v>3469</v>
      </c>
      <c r="J14" s="77" t="s">
        <v>3451</v>
      </c>
      <c r="K14" s="7" t="s">
        <v>3470</v>
      </c>
      <c r="L14" s="7" t="s">
        <v>3454</v>
      </c>
      <c r="M14" s="7" t="s">
        <v>3471</v>
      </c>
      <c r="N14" s="7" t="s">
        <v>3457</v>
      </c>
      <c r="O14" s="77" t="s">
        <v>3472</v>
      </c>
      <c r="P14" s="77" t="s">
        <v>3459</v>
      </c>
      <c r="Q14" s="77" t="s">
        <v>3473</v>
      </c>
      <c r="R14" s="77" t="s">
        <v>3460</v>
      </c>
    </row>
    <row r="15" spans="1:18" ht="15">
      <c r="A15" s="77" t="s">
        <v>1670</v>
      </c>
      <c r="B15" s="77">
        <v>24</v>
      </c>
      <c r="C15" s="77" t="s">
        <v>1670</v>
      </c>
      <c r="D15" s="77">
        <v>12</v>
      </c>
      <c r="E15" s="77" t="s">
        <v>1670</v>
      </c>
      <c r="F15" s="77">
        <v>3</v>
      </c>
      <c r="G15" s="77" t="s">
        <v>1670</v>
      </c>
      <c r="H15" s="77">
        <v>7</v>
      </c>
      <c r="I15" s="77"/>
      <c r="J15" s="77"/>
      <c r="K15" s="77" t="s">
        <v>1670</v>
      </c>
      <c r="L15" s="77">
        <v>1</v>
      </c>
      <c r="M15" s="77" t="s">
        <v>1670</v>
      </c>
      <c r="N15" s="77">
        <v>1</v>
      </c>
      <c r="O15" s="77"/>
      <c r="P15" s="77"/>
      <c r="Q15" s="77"/>
      <c r="R15" s="77"/>
    </row>
    <row r="16" spans="1:18" ht="15">
      <c r="A16" s="78" t="s">
        <v>1671</v>
      </c>
      <c r="B16" s="77">
        <v>2</v>
      </c>
      <c r="C16" s="77"/>
      <c r="D16" s="77"/>
      <c r="E16" s="77" t="s">
        <v>1669</v>
      </c>
      <c r="F16" s="77">
        <v>1</v>
      </c>
      <c r="G16" s="77" t="s">
        <v>1671</v>
      </c>
      <c r="H16" s="77">
        <v>2</v>
      </c>
      <c r="I16" s="77"/>
      <c r="J16" s="77"/>
      <c r="K16" s="77"/>
      <c r="L16" s="77"/>
      <c r="M16" s="77"/>
      <c r="N16" s="77"/>
      <c r="O16" s="77"/>
      <c r="P16" s="77"/>
      <c r="Q16" s="77"/>
      <c r="R16" s="77"/>
    </row>
    <row r="17" spans="1:18" ht="15">
      <c r="A17" s="78" t="s">
        <v>1669</v>
      </c>
      <c r="B17" s="77">
        <v>1</v>
      </c>
      <c r="C17" s="77"/>
      <c r="D17" s="77"/>
      <c r="E17" s="77"/>
      <c r="F17" s="77"/>
      <c r="G17" s="77"/>
      <c r="H17" s="77"/>
      <c r="I17" s="77"/>
      <c r="J17" s="77"/>
      <c r="K17" s="77"/>
      <c r="L17" s="77"/>
      <c r="M17" s="77"/>
      <c r="N17" s="77"/>
      <c r="O17" s="77"/>
      <c r="P17" s="77"/>
      <c r="Q17" s="77"/>
      <c r="R17" s="77"/>
    </row>
    <row r="20" spans="1:18" ht="15" customHeight="1">
      <c r="A20" s="77" t="s">
        <v>3476</v>
      </c>
      <c r="B20" s="77" t="s">
        <v>3436</v>
      </c>
      <c r="C20" s="77" t="s">
        <v>3477</v>
      </c>
      <c r="D20" s="77" t="s">
        <v>3441</v>
      </c>
      <c r="E20" s="77" t="s">
        <v>3478</v>
      </c>
      <c r="F20" s="77" t="s">
        <v>3446</v>
      </c>
      <c r="G20" s="77" t="s">
        <v>3479</v>
      </c>
      <c r="H20" s="77" t="s">
        <v>3449</v>
      </c>
      <c r="I20" s="77" t="s">
        <v>3480</v>
      </c>
      <c r="J20" s="77" t="s">
        <v>3451</v>
      </c>
      <c r="K20" s="77" t="s">
        <v>3481</v>
      </c>
      <c r="L20" s="77" t="s">
        <v>3454</v>
      </c>
      <c r="M20" s="77" t="s">
        <v>3482</v>
      </c>
      <c r="N20" s="77" t="s">
        <v>3457</v>
      </c>
      <c r="O20" s="77" t="s">
        <v>3483</v>
      </c>
      <c r="P20" s="77" t="s">
        <v>3459</v>
      </c>
      <c r="Q20" s="77" t="s">
        <v>3484</v>
      </c>
      <c r="R20" s="77" t="s">
        <v>3460</v>
      </c>
    </row>
    <row r="21" spans="1:18" ht="15">
      <c r="A21" s="77"/>
      <c r="B21" s="77"/>
      <c r="C21" s="77"/>
      <c r="D21" s="77"/>
      <c r="E21" s="77"/>
      <c r="F21" s="77"/>
      <c r="G21" s="77"/>
      <c r="H21" s="77"/>
      <c r="I21" s="77"/>
      <c r="J21" s="77"/>
      <c r="K21" s="77"/>
      <c r="L21" s="77"/>
      <c r="M21" s="77"/>
      <c r="N21" s="77"/>
      <c r="O21" s="77"/>
      <c r="P21" s="77"/>
      <c r="Q21" s="77"/>
      <c r="R21" s="77"/>
    </row>
    <row r="23" spans="1:18" ht="15" customHeight="1">
      <c r="A23" s="7" t="s">
        <v>3486</v>
      </c>
      <c r="B23" s="7" t="s">
        <v>3436</v>
      </c>
      <c r="C23" s="7" t="s">
        <v>3487</v>
      </c>
      <c r="D23" s="7" t="s">
        <v>3441</v>
      </c>
      <c r="E23" s="7" t="s">
        <v>3488</v>
      </c>
      <c r="F23" s="7" t="s">
        <v>3446</v>
      </c>
      <c r="G23" s="7" t="s">
        <v>3489</v>
      </c>
      <c r="H23" s="7" t="s">
        <v>3449</v>
      </c>
      <c r="I23" s="7" t="s">
        <v>3490</v>
      </c>
      <c r="J23" s="7" t="s">
        <v>3451</v>
      </c>
      <c r="K23" s="7" t="s">
        <v>3491</v>
      </c>
      <c r="L23" s="7" t="s">
        <v>3454</v>
      </c>
      <c r="M23" s="7" t="s">
        <v>3492</v>
      </c>
      <c r="N23" s="7" t="s">
        <v>3457</v>
      </c>
      <c r="O23" s="7" t="s">
        <v>3493</v>
      </c>
      <c r="P23" s="7" t="s">
        <v>3459</v>
      </c>
      <c r="Q23" s="7" t="s">
        <v>3494</v>
      </c>
      <c r="R23" s="7" t="s">
        <v>3460</v>
      </c>
    </row>
    <row r="24" spans="1:18" ht="15">
      <c r="A24" s="80" t="s">
        <v>2213</v>
      </c>
      <c r="B24" s="80">
        <v>133</v>
      </c>
      <c r="C24" s="80" t="s">
        <v>2215</v>
      </c>
      <c r="D24" s="80">
        <v>40</v>
      </c>
      <c r="E24" s="80" t="s">
        <v>2213</v>
      </c>
      <c r="F24" s="80">
        <v>39</v>
      </c>
      <c r="G24" s="80" t="s">
        <v>2217</v>
      </c>
      <c r="H24" s="80">
        <v>16</v>
      </c>
      <c r="I24" s="80" t="s">
        <v>2227</v>
      </c>
      <c r="J24" s="80">
        <v>43</v>
      </c>
      <c r="K24" s="80" t="s">
        <v>2213</v>
      </c>
      <c r="L24" s="80">
        <v>18</v>
      </c>
      <c r="M24" s="80" t="s">
        <v>2220</v>
      </c>
      <c r="N24" s="80">
        <v>24</v>
      </c>
      <c r="O24" s="80" t="s">
        <v>3260</v>
      </c>
      <c r="P24" s="80">
        <v>2</v>
      </c>
      <c r="Q24" s="80" t="s">
        <v>2213</v>
      </c>
      <c r="R24" s="80">
        <v>7</v>
      </c>
    </row>
    <row r="25" spans="1:18" ht="15">
      <c r="A25" s="81" t="s">
        <v>2214</v>
      </c>
      <c r="B25" s="80">
        <v>114</v>
      </c>
      <c r="C25" s="80" t="s">
        <v>2216</v>
      </c>
      <c r="D25" s="80">
        <v>27</v>
      </c>
      <c r="E25" s="80" t="s">
        <v>2223</v>
      </c>
      <c r="F25" s="80">
        <v>33</v>
      </c>
      <c r="G25" s="80" t="s">
        <v>2213</v>
      </c>
      <c r="H25" s="80">
        <v>16</v>
      </c>
      <c r="I25" s="80" t="s">
        <v>2220</v>
      </c>
      <c r="J25" s="80">
        <v>21</v>
      </c>
      <c r="K25" s="80" t="s">
        <v>2214</v>
      </c>
      <c r="L25" s="80">
        <v>17</v>
      </c>
      <c r="M25" s="80" t="s">
        <v>2214</v>
      </c>
      <c r="N25" s="80">
        <v>22</v>
      </c>
      <c r="O25" s="80" t="s">
        <v>3356</v>
      </c>
      <c r="P25" s="80">
        <v>2</v>
      </c>
      <c r="Q25" s="80" t="s">
        <v>2238</v>
      </c>
      <c r="R25" s="80">
        <v>3</v>
      </c>
    </row>
    <row r="26" spans="1:18" ht="15">
      <c r="A26" s="81" t="s">
        <v>2215</v>
      </c>
      <c r="B26" s="80">
        <v>91</v>
      </c>
      <c r="C26" s="80" t="s">
        <v>2213</v>
      </c>
      <c r="D26" s="80">
        <v>23</v>
      </c>
      <c r="E26" s="80" t="s">
        <v>2214</v>
      </c>
      <c r="F26" s="80">
        <v>33</v>
      </c>
      <c r="G26" s="80" t="s">
        <v>2218</v>
      </c>
      <c r="H26" s="80">
        <v>15</v>
      </c>
      <c r="I26" s="80" t="s">
        <v>2262</v>
      </c>
      <c r="J26" s="80">
        <v>17</v>
      </c>
      <c r="K26" s="80" t="s">
        <v>2259</v>
      </c>
      <c r="L26" s="80">
        <v>17</v>
      </c>
      <c r="M26" s="80" t="s">
        <v>2213</v>
      </c>
      <c r="N26" s="80">
        <v>19</v>
      </c>
      <c r="O26" s="80" t="s">
        <v>3221</v>
      </c>
      <c r="P26" s="80">
        <v>2</v>
      </c>
      <c r="Q26" s="80" t="s">
        <v>2219</v>
      </c>
      <c r="R26" s="80">
        <v>3</v>
      </c>
    </row>
    <row r="27" spans="1:18" ht="15">
      <c r="A27" s="81" t="s">
        <v>2216</v>
      </c>
      <c r="B27" s="80">
        <v>82</v>
      </c>
      <c r="C27" s="80" t="s">
        <v>2219</v>
      </c>
      <c r="D27" s="80">
        <v>22</v>
      </c>
      <c r="E27" s="80" t="s">
        <v>2217</v>
      </c>
      <c r="F27" s="80">
        <v>22</v>
      </c>
      <c r="G27" s="80" t="s">
        <v>2215</v>
      </c>
      <c r="H27" s="80">
        <v>15</v>
      </c>
      <c r="I27" s="80" t="s">
        <v>2244</v>
      </c>
      <c r="J27" s="80">
        <v>16</v>
      </c>
      <c r="K27" s="80" t="s">
        <v>2215</v>
      </c>
      <c r="L27" s="80">
        <v>12</v>
      </c>
      <c r="M27" s="80" t="s">
        <v>2278</v>
      </c>
      <c r="N27" s="80">
        <v>13</v>
      </c>
      <c r="O27" s="80"/>
      <c r="P27" s="80"/>
      <c r="Q27" s="80" t="s">
        <v>2217</v>
      </c>
      <c r="R27" s="80">
        <v>3</v>
      </c>
    </row>
    <row r="28" spans="1:18" ht="15">
      <c r="A28" s="81" t="s">
        <v>2217</v>
      </c>
      <c r="B28" s="80">
        <v>69</v>
      </c>
      <c r="C28" s="80" t="s">
        <v>2229</v>
      </c>
      <c r="D28" s="80">
        <v>21</v>
      </c>
      <c r="E28" s="80" t="s">
        <v>2218</v>
      </c>
      <c r="F28" s="80">
        <v>22</v>
      </c>
      <c r="G28" s="80" t="s">
        <v>2216</v>
      </c>
      <c r="H28" s="80">
        <v>14</v>
      </c>
      <c r="I28" s="80" t="s">
        <v>2293</v>
      </c>
      <c r="J28" s="80">
        <v>14</v>
      </c>
      <c r="K28" s="80" t="s">
        <v>2326</v>
      </c>
      <c r="L28" s="80">
        <v>11</v>
      </c>
      <c r="M28" s="80" t="s">
        <v>2219</v>
      </c>
      <c r="N28" s="80">
        <v>9</v>
      </c>
      <c r="O28" s="80"/>
      <c r="P28" s="80"/>
      <c r="Q28" s="80" t="s">
        <v>2302</v>
      </c>
      <c r="R28" s="80">
        <v>2</v>
      </c>
    </row>
    <row r="29" spans="1:18" ht="15">
      <c r="A29" s="81" t="s">
        <v>2218</v>
      </c>
      <c r="B29" s="80">
        <v>65</v>
      </c>
      <c r="C29" s="80" t="s">
        <v>2231</v>
      </c>
      <c r="D29" s="80">
        <v>20</v>
      </c>
      <c r="E29" s="80" t="s">
        <v>2216</v>
      </c>
      <c r="F29" s="80">
        <v>21</v>
      </c>
      <c r="G29" s="80" t="s">
        <v>2214</v>
      </c>
      <c r="H29" s="80">
        <v>14</v>
      </c>
      <c r="I29" s="80" t="s">
        <v>2298</v>
      </c>
      <c r="J29" s="80">
        <v>11</v>
      </c>
      <c r="K29" s="80" t="s">
        <v>2340</v>
      </c>
      <c r="L29" s="80">
        <v>10</v>
      </c>
      <c r="M29" s="80" t="s">
        <v>2243</v>
      </c>
      <c r="N29" s="80">
        <v>8</v>
      </c>
      <c r="O29" s="80"/>
      <c r="P29" s="80"/>
      <c r="Q29" s="80" t="s">
        <v>2745</v>
      </c>
      <c r="R29" s="80">
        <v>2</v>
      </c>
    </row>
    <row r="30" spans="1:18" ht="15">
      <c r="A30" s="81" t="s">
        <v>2219</v>
      </c>
      <c r="B30" s="80">
        <v>59</v>
      </c>
      <c r="C30" s="80" t="s">
        <v>2214</v>
      </c>
      <c r="D30" s="80">
        <v>20</v>
      </c>
      <c r="E30" s="80" t="s">
        <v>2228</v>
      </c>
      <c r="F30" s="80">
        <v>19</v>
      </c>
      <c r="G30" s="80" t="s">
        <v>2238</v>
      </c>
      <c r="H30" s="80">
        <v>13</v>
      </c>
      <c r="I30" s="80" t="s">
        <v>2213</v>
      </c>
      <c r="J30" s="80">
        <v>11</v>
      </c>
      <c r="K30" s="80" t="s">
        <v>2348</v>
      </c>
      <c r="L30" s="80">
        <v>10</v>
      </c>
      <c r="M30" s="80" t="s">
        <v>2279</v>
      </c>
      <c r="N30" s="80">
        <v>7</v>
      </c>
      <c r="O30" s="80"/>
      <c r="P30" s="80"/>
      <c r="Q30" s="80" t="s">
        <v>2214</v>
      </c>
      <c r="R30" s="80">
        <v>2</v>
      </c>
    </row>
    <row r="31" spans="1:18" ht="15">
      <c r="A31" s="81" t="s">
        <v>2220</v>
      </c>
      <c r="B31" s="80">
        <v>59</v>
      </c>
      <c r="C31" s="80" t="s">
        <v>2221</v>
      </c>
      <c r="D31" s="80">
        <v>20</v>
      </c>
      <c r="E31" s="80" t="s">
        <v>2248</v>
      </c>
      <c r="F31" s="80">
        <v>17</v>
      </c>
      <c r="G31" s="80" t="s">
        <v>2235</v>
      </c>
      <c r="H31" s="80">
        <v>12</v>
      </c>
      <c r="I31" s="80" t="s">
        <v>2230</v>
      </c>
      <c r="J31" s="80">
        <v>10</v>
      </c>
      <c r="K31" s="80" t="s">
        <v>2216</v>
      </c>
      <c r="L31" s="80">
        <v>10</v>
      </c>
      <c r="M31" s="80" t="s">
        <v>2232</v>
      </c>
      <c r="N31" s="80">
        <v>7</v>
      </c>
      <c r="O31" s="80"/>
      <c r="P31" s="80"/>
      <c r="Q31" s="80" t="s">
        <v>2729</v>
      </c>
      <c r="R31" s="80">
        <v>2</v>
      </c>
    </row>
    <row r="32" spans="1:18" ht="15">
      <c r="A32" s="81" t="s">
        <v>2221</v>
      </c>
      <c r="B32" s="80">
        <v>53</v>
      </c>
      <c r="C32" s="80" t="s">
        <v>2245</v>
      </c>
      <c r="D32" s="80">
        <v>20</v>
      </c>
      <c r="E32" s="80" t="s">
        <v>2277</v>
      </c>
      <c r="F32" s="80">
        <v>15</v>
      </c>
      <c r="G32" s="80" t="s">
        <v>2237</v>
      </c>
      <c r="H32" s="80">
        <v>12</v>
      </c>
      <c r="I32" s="80" t="s">
        <v>2285</v>
      </c>
      <c r="J32" s="80">
        <v>10</v>
      </c>
      <c r="K32" s="80" t="s">
        <v>2222</v>
      </c>
      <c r="L32" s="80">
        <v>9</v>
      </c>
      <c r="M32" s="80" t="s">
        <v>2324</v>
      </c>
      <c r="N32" s="80">
        <v>6</v>
      </c>
      <c r="O32" s="80"/>
      <c r="P32" s="80"/>
      <c r="Q32" s="80" t="s">
        <v>2694</v>
      </c>
      <c r="R32" s="80">
        <v>2</v>
      </c>
    </row>
    <row r="33" spans="1:18" ht="15">
      <c r="A33" s="81" t="s">
        <v>2222</v>
      </c>
      <c r="B33" s="80">
        <v>51</v>
      </c>
      <c r="C33" s="80" t="s">
        <v>2224</v>
      </c>
      <c r="D33" s="80">
        <v>19</v>
      </c>
      <c r="E33" s="80" t="s">
        <v>2215</v>
      </c>
      <c r="F33" s="80">
        <v>14</v>
      </c>
      <c r="G33" s="80" t="s">
        <v>2234</v>
      </c>
      <c r="H33" s="80">
        <v>10</v>
      </c>
      <c r="I33" s="80" t="s">
        <v>2241</v>
      </c>
      <c r="J33" s="80">
        <v>10</v>
      </c>
      <c r="K33" s="80" t="s">
        <v>2218</v>
      </c>
      <c r="L33" s="80">
        <v>8</v>
      </c>
      <c r="M33" s="80" t="s">
        <v>2223</v>
      </c>
      <c r="N33" s="80">
        <v>6</v>
      </c>
      <c r="O33" s="80"/>
      <c r="P33" s="80"/>
      <c r="Q33" s="80" t="s">
        <v>2267</v>
      </c>
      <c r="R33" s="80">
        <v>2</v>
      </c>
    </row>
    <row r="36" spans="1:18" ht="15" customHeight="1">
      <c r="A36" s="7" t="s">
        <v>3504</v>
      </c>
      <c r="B36" s="7" t="s">
        <v>3436</v>
      </c>
      <c r="C36" s="7" t="s">
        <v>3515</v>
      </c>
      <c r="D36" s="7" t="s">
        <v>3441</v>
      </c>
      <c r="E36" s="7" t="s">
        <v>3518</v>
      </c>
      <c r="F36" s="7" t="s">
        <v>3446</v>
      </c>
      <c r="G36" s="7" t="s">
        <v>3527</v>
      </c>
      <c r="H36" s="7" t="s">
        <v>3449</v>
      </c>
      <c r="I36" s="7" t="s">
        <v>3532</v>
      </c>
      <c r="J36" s="7" t="s">
        <v>3451</v>
      </c>
      <c r="K36" s="7" t="s">
        <v>3542</v>
      </c>
      <c r="L36" s="7" t="s">
        <v>3454</v>
      </c>
      <c r="M36" s="7" t="s">
        <v>3550</v>
      </c>
      <c r="N36" s="7" t="s">
        <v>3457</v>
      </c>
      <c r="O36" s="7" t="s">
        <v>3559</v>
      </c>
      <c r="P36" s="7" t="s">
        <v>3459</v>
      </c>
      <c r="Q36" s="7" t="s">
        <v>3561</v>
      </c>
      <c r="R36" s="7" t="s">
        <v>3460</v>
      </c>
    </row>
    <row r="37" spans="1:18" ht="15">
      <c r="A37" s="80" t="s">
        <v>3505</v>
      </c>
      <c r="B37" s="80">
        <v>93</v>
      </c>
      <c r="C37" s="80" t="s">
        <v>3505</v>
      </c>
      <c r="D37" s="80">
        <v>17</v>
      </c>
      <c r="E37" s="80" t="s">
        <v>3505</v>
      </c>
      <c r="F37" s="80">
        <v>24</v>
      </c>
      <c r="G37" s="80" t="s">
        <v>3505</v>
      </c>
      <c r="H37" s="80">
        <v>12</v>
      </c>
      <c r="I37" s="80" t="s">
        <v>3533</v>
      </c>
      <c r="J37" s="80">
        <v>7</v>
      </c>
      <c r="K37" s="80" t="s">
        <v>3505</v>
      </c>
      <c r="L37" s="80">
        <v>15</v>
      </c>
      <c r="M37" s="80" t="s">
        <v>3505</v>
      </c>
      <c r="N37" s="80">
        <v>17</v>
      </c>
      <c r="O37" s="80" t="s">
        <v>3560</v>
      </c>
      <c r="P37" s="80">
        <v>2</v>
      </c>
      <c r="Q37" s="80" t="s">
        <v>3562</v>
      </c>
      <c r="R37" s="80">
        <v>2</v>
      </c>
    </row>
    <row r="38" spans="1:18" ht="15">
      <c r="A38" s="81" t="s">
        <v>3506</v>
      </c>
      <c r="B38" s="80">
        <v>33</v>
      </c>
      <c r="C38" s="80" t="s">
        <v>3508</v>
      </c>
      <c r="D38" s="80">
        <v>13</v>
      </c>
      <c r="E38" s="80" t="s">
        <v>3519</v>
      </c>
      <c r="F38" s="80">
        <v>8</v>
      </c>
      <c r="G38" s="80" t="s">
        <v>3506</v>
      </c>
      <c r="H38" s="80">
        <v>10</v>
      </c>
      <c r="I38" s="80" t="s">
        <v>3534</v>
      </c>
      <c r="J38" s="80">
        <v>7</v>
      </c>
      <c r="K38" s="80" t="s">
        <v>3543</v>
      </c>
      <c r="L38" s="80">
        <v>6</v>
      </c>
      <c r="M38" s="80" t="s">
        <v>3551</v>
      </c>
      <c r="N38" s="80">
        <v>5</v>
      </c>
      <c r="O38" s="80"/>
      <c r="P38" s="80"/>
      <c r="Q38" s="80" t="s">
        <v>3563</v>
      </c>
      <c r="R38" s="80">
        <v>2</v>
      </c>
    </row>
    <row r="39" spans="1:18" ht="15">
      <c r="A39" s="81" t="s">
        <v>3507</v>
      </c>
      <c r="B39" s="80">
        <v>27</v>
      </c>
      <c r="C39" s="80" t="s">
        <v>3507</v>
      </c>
      <c r="D39" s="80">
        <v>13</v>
      </c>
      <c r="E39" s="80" t="s">
        <v>3520</v>
      </c>
      <c r="F39" s="80">
        <v>7</v>
      </c>
      <c r="G39" s="80" t="s">
        <v>3528</v>
      </c>
      <c r="H39" s="80">
        <v>6</v>
      </c>
      <c r="I39" s="80" t="s">
        <v>3535</v>
      </c>
      <c r="J39" s="80">
        <v>7</v>
      </c>
      <c r="K39" s="80" t="s">
        <v>3544</v>
      </c>
      <c r="L39" s="80">
        <v>4</v>
      </c>
      <c r="M39" s="80" t="s">
        <v>3552</v>
      </c>
      <c r="N39" s="80">
        <v>4</v>
      </c>
      <c r="O39" s="80"/>
      <c r="P39" s="80"/>
      <c r="Q39" s="80" t="s">
        <v>3505</v>
      </c>
      <c r="R39" s="80">
        <v>2</v>
      </c>
    </row>
    <row r="40" spans="1:18" ht="15">
      <c r="A40" s="81" t="s">
        <v>3508</v>
      </c>
      <c r="B40" s="80">
        <v>24</v>
      </c>
      <c r="C40" s="80" t="s">
        <v>3516</v>
      </c>
      <c r="D40" s="80">
        <v>11</v>
      </c>
      <c r="E40" s="80" t="s">
        <v>3513</v>
      </c>
      <c r="F40" s="80">
        <v>7</v>
      </c>
      <c r="G40" s="80" t="s">
        <v>3529</v>
      </c>
      <c r="H40" s="80">
        <v>6</v>
      </c>
      <c r="I40" s="80" t="s">
        <v>3536</v>
      </c>
      <c r="J40" s="80">
        <v>6</v>
      </c>
      <c r="K40" s="80" t="s">
        <v>3545</v>
      </c>
      <c r="L40" s="80">
        <v>4</v>
      </c>
      <c r="M40" s="80" t="s">
        <v>3553</v>
      </c>
      <c r="N40" s="80">
        <v>4</v>
      </c>
      <c r="O40" s="80"/>
      <c r="P40" s="80"/>
      <c r="Q40" s="80" t="s">
        <v>3564</v>
      </c>
      <c r="R40" s="80">
        <v>2</v>
      </c>
    </row>
    <row r="41" spans="1:18" ht="15">
      <c r="A41" s="81" t="s">
        <v>3509</v>
      </c>
      <c r="B41" s="80">
        <v>23</v>
      </c>
      <c r="C41" s="80" t="s">
        <v>3509</v>
      </c>
      <c r="D41" s="80">
        <v>11</v>
      </c>
      <c r="E41" s="80" t="s">
        <v>3521</v>
      </c>
      <c r="F41" s="80">
        <v>6</v>
      </c>
      <c r="G41" s="80" t="s">
        <v>3507</v>
      </c>
      <c r="H41" s="80">
        <v>5</v>
      </c>
      <c r="I41" s="80" t="s">
        <v>3537</v>
      </c>
      <c r="J41" s="80">
        <v>6</v>
      </c>
      <c r="K41" s="80" t="s">
        <v>3546</v>
      </c>
      <c r="L41" s="80">
        <v>4</v>
      </c>
      <c r="M41" s="80" t="s">
        <v>3554</v>
      </c>
      <c r="N41" s="80">
        <v>4</v>
      </c>
      <c r="O41" s="80"/>
      <c r="P41" s="80"/>
      <c r="Q41" s="80" t="s">
        <v>3565</v>
      </c>
      <c r="R41" s="80">
        <v>2</v>
      </c>
    </row>
    <row r="42" spans="1:18" ht="15">
      <c r="A42" s="81" t="s">
        <v>3510</v>
      </c>
      <c r="B42" s="80">
        <v>20</v>
      </c>
      <c r="C42" s="80" t="s">
        <v>3506</v>
      </c>
      <c r="D42" s="80">
        <v>10</v>
      </c>
      <c r="E42" s="80" t="s">
        <v>3522</v>
      </c>
      <c r="F42" s="80">
        <v>5</v>
      </c>
      <c r="G42" s="80" t="s">
        <v>3530</v>
      </c>
      <c r="H42" s="80">
        <v>4</v>
      </c>
      <c r="I42" s="80" t="s">
        <v>3538</v>
      </c>
      <c r="J42" s="80">
        <v>6</v>
      </c>
      <c r="K42" s="80" t="s">
        <v>3506</v>
      </c>
      <c r="L42" s="80">
        <v>4</v>
      </c>
      <c r="M42" s="80" t="s">
        <v>3506</v>
      </c>
      <c r="N42" s="80">
        <v>3</v>
      </c>
      <c r="O42" s="80"/>
      <c r="P42" s="80"/>
      <c r="Q42" s="80"/>
      <c r="R42" s="80"/>
    </row>
    <row r="43" spans="1:18" ht="15">
      <c r="A43" s="81" t="s">
        <v>3511</v>
      </c>
      <c r="B43" s="80">
        <v>19</v>
      </c>
      <c r="C43" s="80" t="s">
        <v>3510</v>
      </c>
      <c r="D43" s="80">
        <v>10</v>
      </c>
      <c r="E43" s="80" t="s">
        <v>3523</v>
      </c>
      <c r="F43" s="80">
        <v>5</v>
      </c>
      <c r="G43" s="80" t="s">
        <v>3531</v>
      </c>
      <c r="H43" s="80">
        <v>4</v>
      </c>
      <c r="I43" s="80" t="s">
        <v>3505</v>
      </c>
      <c r="J43" s="80">
        <v>6</v>
      </c>
      <c r="K43" s="80" t="s">
        <v>3531</v>
      </c>
      <c r="L43" s="80">
        <v>4</v>
      </c>
      <c r="M43" s="80" t="s">
        <v>3555</v>
      </c>
      <c r="N43" s="80">
        <v>3</v>
      </c>
      <c r="O43" s="80"/>
      <c r="P43" s="80"/>
      <c r="Q43" s="80"/>
      <c r="R43" s="80"/>
    </row>
    <row r="44" spans="1:18" ht="15">
      <c r="A44" s="81" t="s">
        <v>3512</v>
      </c>
      <c r="B44" s="80">
        <v>18</v>
      </c>
      <c r="C44" s="80" t="s">
        <v>3511</v>
      </c>
      <c r="D44" s="80">
        <v>9</v>
      </c>
      <c r="E44" s="80" t="s">
        <v>3524</v>
      </c>
      <c r="F44" s="80">
        <v>5</v>
      </c>
      <c r="G44" s="80" t="s">
        <v>3522</v>
      </c>
      <c r="H44" s="80">
        <v>4</v>
      </c>
      <c r="I44" s="80" t="s">
        <v>3539</v>
      </c>
      <c r="J44" s="80">
        <v>6</v>
      </c>
      <c r="K44" s="80" t="s">
        <v>3547</v>
      </c>
      <c r="L44" s="80">
        <v>4</v>
      </c>
      <c r="M44" s="80" t="s">
        <v>3556</v>
      </c>
      <c r="N44" s="80">
        <v>3</v>
      </c>
      <c r="O44" s="80"/>
      <c r="P44" s="80"/>
      <c r="Q44" s="80"/>
      <c r="R44" s="80"/>
    </row>
    <row r="45" spans="1:18" ht="15">
      <c r="A45" s="81" t="s">
        <v>3513</v>
      </c>
      <c r="B45" s="80">
        <v>18</v>
      </c>
      <c r="C45" s="80" t="s">
        <v>3512</v>
      </c>
      <c r="D45" s="80">
        <v>8</v>
      </c>
      <c r="E45" s="80" t="s">
        <v>3525</v>
      </c>
      <c r="F45" s="80">
        <v>5</v>
      </c>
      <c r="G45" s="80" t="s">
        <v>3509</v>
      </c>
      <c r="H45" s="80">
        <v>4</v>
      </c>
      <c r="I45" s="80" t="s">
        <v>3540</v>
      </c>
      <c r="J45" s="80">
        <v>5</v>
      </c>
      <c r="K45" s="80" t="s">
        <v>3548</v>
      </c>
      <c r="L45" s="80">
        <v>4</v>
      </c>
      <c r="M45" s="80" t="s">
        <v>3557</v>
      </c>
      <c r="N45" s="80">
        <v>2</v>
      </c>
      <c r="O45" s="80"/>
      <c r="P45" s="80"/>
      <c r="Q45" s="80"/>
      <c r="R45" s="80"/>
    </row>
    <row r="46" spans="1:18" ht="15">
      <c r="A46" s="81" t="s">
        <v>3514</v>
      </c>
      <c r="B46" s="80">
        <v>16</v>
      </c>
      <c r="C46" s="80" t="s">
        <v>3517</v>
      </c>
      <c r="D46" s="80">
        <v>7</v>
      </c>
      <c r="E46" s="80" t="s">
        <v>3526</v>
      </c>
      <c r="F46" s="80">
        <v>5</v>
      </c>
      <c r="G46" s="80" t="s">
        <v>3513</v>
      </c>
      <c r="H46" s="80">
        <v>4</v>
      </c>
      <c r="I46" s="80" t="s">
        <v>3541</v>
      </c>
      <c r="J46" s="80">
        <v>5</v>
      </c>
      <c r="K46" s="80" t="s">
        <v>3549</v>
      </c>
      <c r="L46" s="80">
        <v>3</v>
      </c>
      <c r="M46" s="80" t="s">
        <v>3558</v>
      </c>
      <c r="N46" s="80">
        <v>2</v>
      </c>
      <c r="O46" s="80"/>
      <c r="P46" s="80"/>
      <c r="Q46" s="80"/>
      <c r="R46" s="80"/>
    </row>
  </sheetData>
  <hyperlinks>
    <hyperlink ref="A2" r:id="rId1" display="https://www.youtube.com/watch?v=x8TuG7Or5y8&amp;amp;t=2m28s"/>
    <hyperlink ref="A3" r:id="rId2" display="https://www.youtube.com/watch?v=sQ6S7XzvFgw&amp;amp;t=1m46s"/>
    <hyperlink ref="A5" r:id="rId3" display="https://www.youtube.com/watch?v=9ZXrkcS1hB8&amp;amp;t=1m05s"/>
    <hyperlink ref="A6" r:id="rId4" display="http://www.youtube.com/results?search_query=%233141"/>
    <hyperlink ref="A7" r:id="rId5" display="https://www.youtube.com/watch?v=eQ0V8uvfB98&amp;amp;t=5m24s"/>
    <hyperlink ref="A8" r:id="rId6" display="https://www.youtube.com/watch?v=eQ0V8uvfB98&amp;amp;t=8m12s"/>
    <hyperlink ref="A9" r:id="rId7" display="https://www.youtube.com/watch?v=q2yJEc5KWVA&amp;amp;t=3m25s"/>
    <hyperlink ref="A10" r:id="rId8" display="https://www.youtube.com/watch?v=BcZZOIdpISw&amp;amp;t=6m14s"/>
    <hyperlink ref="A11" r:id="rId9" display="https://www.youtube.com/watch?v=fAdnFU3uVAE&amp;amp;t=2m26s"/>
    <hyperlink ref="C2" r:id="rId10" display="https://www.youtube.com/watch?v=x8TuG7Or5y8&amp;amp;t=2m28s"/>
    <hyperlink ref="C3" r:id="rId11" display="https://www.youtube.com/watch?v=sQ6S7XzvFgw&amp;amp;t=1m46s"/>
    <hyperlink ref="C4" r:id="rId12" display="https://www.youtube.com/watch?v=x8TuG7Or5y8&amp;amp;t=2m23s"/>
    <hyperlink ref="C5" r:id="rId13" display="https://www.youtube.com/watch?v=iqpABS2UMRc&amp;amp;t=2m10s"/>
    <hyperlink ref="C6" r:id="rId14" display="http://www.youtube.com/results?search_query=%233141"/>
    <hyperlink ref="C7" r:id="rId15" display="https://www.youtube.com/watch?v=BcZZOIdpISw&amp;amp;t=6m14s"/>
    <hyperlink ref="E2" r:id="rId16" display="https://www.youtube.com/watch?v=fAdnFU3uVAE&amp;amp;t=2m26s"/>
    <hyperlink ref="E3" r:id="rId17" display="https://www.youtube.com/watch?v=fAdnFU3uVAE&amp;amp;t=3m35s"/>
    <hyperlink ref="E4" r:id="rId18" display="https://www.youtube.com/watch?v=PMW01KBO_R8&amp;amp;t=4m30s"/>
    <hyperlink ref="G2" r:id="rId19" display="https://www.youtube.com/watch?v=9ZXrkcS1hB8&amp;amp;t=1m05s"/>
    <hyperlink ref="G4" r:id="rId20" display="https://www.youtube.com/watch?v=eQ0V8uvfB98&amp;amp;t=8m12s"/>
    <hyperlink ref="G5" r:id="rId21" display="https://www.youtube.com/watch?v=eQ0V8uvfB98&amp;amp;t=5m24s"/>
    <hyperlink ref="G6" r:id="rId22" display="https://www.youtube.com/watch?v=sy6DtXbPzeM&amp;amp;t=8m07s"/>
    <hyperlink ref="G7" r:id="rId23" display="http://www.youtube.com/results?search_query=%233141"/>
    <hyperlink ref="G8" r:id="rId24" display="https://www.youtube.com/watch?v=q2yJEc5KWVA&amp;amp;t=3m25s"/>
    <hyperlink ref="K2" r:id="rId25" display="https://www.youtube.com/watch?v=JqQAFodjYBk&amp;amp;t=7m37s"/>
    <hyperlink ref="M2" r:id="rId26" display="https://www.youtube.com/watch?v=NPDS33uD5j4&amp;amp;t=6m54s"/>
  </hyperlinks>
  <printOptions/>
  <pageMargins left="0.7" right="0.7" top="0.75" bottom="0.75" header="0.3" footer="0.3"/>
  <pageSetup orientation="portrait" paperSize="9"/>
  <tableParts>
    <tablePart r:id="rId31"/>
    <tablePart r:id="rId28"/>
    <tablePart r:id="rId30"/>
    <tablePart r:id="rId29"/>
    <tablePart r:id="rId2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100"/>
  <sheetViews>
    <sheetView tabSelected="1"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15.85156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7.28125" style="0" customWidth="1"/>
    <col min="32" max="32" width="13.421875" style="0" customWidth="1"/>
    <col min="33" max="33" width="7.140625" style="0" customWidth="1"/>
    <col min="34" max="34" width="9.421875" style="0" customWidth="1"/>
    <col min="35" max="35" width="14.8515625" style="0" customWidth="1"/>
    <col min="36" max="36" width="7.8515625" style="0" customWidth="1"/>
    <col min="37" max="37" width="12.8515625" style="0" customWidth="1"/>
    <col min="38" max="38" width="13.421875" style="0" customWidth="1"/>
    <col min="39" max="39" width="10.140625" style="0" customWidth="1"/>
    <col min="40" max="41" width="15.7109375" style="0" customWidth="1"/>
    <col min="42" max="42" width="9.7109375" style="0" customWidth="1"/>
    <col min="43" max="43" width="19.7109375" style="0" customWidth="1"/>
    <col min="44" max="44" width="24.28125" style="0" customWidth="1"/>
    <col min="45" max="45" width="19.7109375" style="0" customWidth="1"/>
    <col min="46" max="46" width="24.28125" style="0" customWidth="1"/>
    <col min="47" max="47" width="19.7109375" style="0" customWidth="1"/>
    <col min="48" max="48" width="24.28125" style="0" customWidth="1"/>
    <col min="49" max="49" width="18.57421875" style="0" customWidth="1"/>
    <col min="50" max="50" width="22.28125" style="0" customWidth="1"/>
    <col min="51" max="51" width="17.421875" style="0" customWidth="1"/>
    <col min="52" max="52" width="20.57421875" style="0" customWidth="1"/>
    <col min="53" max="53" width="22.7109375" style="0" customWidth="1"/>
    <col min="54" max="54" width="20.57421875" style="0" customWidth="1"/>
    <col min="55" max="55" width="22.7109375" style="0" customWidth="1"/>
    <col min="56" max="56" width="20.7109375" style="0" customWidth="1"/>
    <col min="57" max="57" width="22.7109375" style="0" customWidth="1"/>
    <col min="58" max="58" width="22.00390625" style="0" customWidth="1"/>
    <col min="59" max="59" width="24.28125" style="0" customWidth="1"/>
    <col min="60" max="60" width="22.00390625" style="0" customWidth="1"/>
    <col min="61" max="61" width="24.2812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61" ht="30" customHeight="1">
      <c r="A2" s="10" t="s">
        <v>5</v>
      </c>
      <c r="B2" t="s">
        <v>3622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1729</v>
      </c>
      <c r="AF2" s="7" t="s">
        <v>1730</v>
      </c>
      <c r="AG2" s="7" t="s">
        <v>1731</v>
      </c>
      <c r="AH2" s="7" t="s">
        <v>1732</v>
      </c>
      <c r="AI2" s="7" t="s">
        <v>1733</v>
      </c>
      <c r="AJ2" s="7" t="s">
        <v>1734</v>
      </c>
      <c r="AK2" s="7" t="s">
        <v>1735</v>
      </c>
      <c r="AL2" s="7" t="s">
        <v>1736</v>
      </c>
      <c r="AM2" s="7" t="s">
        <v>1737</v>
      </c>
      <c r="AN2" s="7" t="s">
        <v>1738</v>
      </c>
      <c r="AO2" s="7" t="s">
        <v>1739</v>
      </c>
      <c r="AP2" s="7" t="s">
        <v>2200</v>
      </c>
      <c r="AQ2" s="106" t="s">
        <v>3383</v>
      </c>
      <c r="AR2" s="106" t="s">
        <v>3384</v>
      </c>
      <c r="AS2" s="106" t="s">
        <v>3385</v>
      </c>
      <c r="AT2" s="106" t="s">
        <v>3386</v>
      </c>
      <c r="AU2" s="106" t="s">
        <v>3387</v>
      </c>
      <c r="AV2" s="106" t="s">
        <v>3388</v>
      </c>
      <c r="AW2" s="106" t="s">
        <v>3389</v>
      </c>
      <c r="AX2" s="106" t="s">
        <v>3390</v>
      </c>
      <c r="AY2" s="106" t="s">
        <v>3392</v>
      </c>
      <c r="AZ2" s="106" t="s">
        <v>3574</v>
      </c>
      <c r="BA2" s="106" t="s">
        <v>3582</v>
      </c>
      <c r="BB2" s="106" t="s">
        <v>3588</v>
      </c>
      <c r="BC2" s="106" t="s">
        <v>3590</v>
      </c>
      <c r="BD2" s="106" t="s">
        <v>3591</v>
      </c>
      <c r="BE2" s="106" t="s">
        <v>3592</v>
      </c>
      <c r="BF2" s="106" t="s">
        <v>3593</v>
      </c>
      <c r="BG2" s="106" t="s">
        <v>3594</v>
      </c>
      <c r="BH2" s="106" t="s">
        <v>3595</v>
      </c>
      <c r="BI2" s="106" t="s">
        <v>3596</v>
      </c>
    </row>
    <row r="3" spans="1:61" ht="41.45" customHeight="1">
      <c r="A3" s="62" t="s">
        <v>235</v>
      </c>
      <c r="C3" s="63"/>
      <c r="D3" s="63" t="s">
        <v>64</v>
      </c>
      <c r="E3" s="64">
        <v>737.1497340581755</v>
      </c>
      <c r="F3" s="66">
        <v>70</v>
      </c>
      <c r="G3" s="96" t="str">
        <f>HYPERLINK("https://i.ytimg.com/vi/x8TuG7Or5y8/default.jpg")</f>
        <v>https://i.ytimg.com/vi/x8TuG7Or5y8/default.jpg</v>
      </c>
      <c r="H3" s="63"/>
      <c r="I3" s="67" t="s">
        <v>1767</v>
      </c>
      <c r="J3" s="68"/>
      <c r="K3" s="68" t="s">
        <v>75</v>
      </c>
      <c r="L3" s="47" t="s">
        <v>1863</v>
      </c>
      <c r="M3" s="71">
        <v>878.5252860072999</v>
      </c>
      <c r="N3" s="72">
        <v>1576.8289794921875</v>
      </c>
      <c r="O3" s="72">
        <v>7108.38525390625</v>
      </c>
      <c r="P3" s="73"/>
      <c r="Q3" s="74"/>
      <c r="R3" s="74"/>
      <c r="S3" s="82"/>
      <c r="T3" s="45">
        <v>11</v>
      </c>
      <c r="U3" s="45">
        <v>24</v>
      </c>
      <c r="V3" s="46">
        <v>916.710429</v>
      </c>
      <c r="W3" s="46">
        <v>0.589928</v>
      </c>
      <c r="X3" s="46">
        <v>0.27547</v>
      </c>
      <c r="Y3" s="46">
        <v>0.015654</v>
      </c>
      <c r="Z3" s="46">
        <v>0.1546218487394958</v>
      </c>
      <c r="AA3" s="46">
        <v>0</v>
      </c>
      <c r="AB3" s="69">
        <v>3</v>
      </c>
      <c r="AC3" s="69"/>
      <c r="AD3" s="70"/>
      <c r="AE3" s="77" t="s">
        <v>1767</v>
      </c>
      <c r="AF3" s="77" t="s">
        <v>1863</v>
      </c>
      <c r="AG3" s="77" t="s">
        <v>1956</v>
      </c>
      <c r="AH3" s="77" t="s">
        <v>2033</v>
      </c>
      <c r="AI3" s="77" t="s">
        <v>2110</v>
      </c>
      <c r="AJ3" s="77">
        <v>220753</v>
      </c>
      <c r="AK3" s="77">
        <v>135</v>
      </c>
      <c r="AL3" s="77">
        <v>3671</v>
      </c>
      <c r="AM3" s="77">
        <v>0</v>
      </c>
      <c r="AN3" s="77" t="s">
        <v>2181</v>
      </c>
      <c r="AO3" s="98" t="str">
        <f>HYPERLINK("https://www.youtube.com/watch?v=x8TuG7Or5y8")</f>
        <v>https://www.youtube.com/watch?v=x8TuG7Or5y8</v>
      </c>
      <c r="AP3" s="77" t="str">
        <f>REPLACE(INDEX(GroupVertices[Group],MATCH("~"&amp;Vertices[[#This Row],[Vertex]],GroupVertices[Vertex],0)),1,1,"")</f>
        <v>1</v>
      </c>
      <c r="AQ3" s="45">
        <v>4</v>
      </c>
      <c r="AR3" s="46">
        <v>5.555555555555555</v>
      </c>
      <c r="AS3" s="45">
        <v>2</v>
      </c>
      <c r="AT3" s="46">
        <v>2.7777777777777777</v>
      </c>
      <c r="AU3" s="45">
        <v>0</v>
      </c>
      <c r="AV3" s="46">
        <v>0</v>
      </c>
      <c r="AW3" s="45">
        <v>45</v>
      </c>
      <c r="AX3" s="46">
        <v>62.5</v>
      </c>
      <c r="AY3" s="45">
        <v>72</v>
      </c>
      <c r="AZ3" s="45" t="s">
        <v>3576</v>
      </c>
      <c r="BA3" s="45" t="s">
        <v>3583</v>
      </c>
      <c r="BB3" s="45" t="s">
        <v>1670</v>
      </c>
      <c r="BC3" s="45" t="s">
        <v>1670</v>
      </c>
      <c r="BD3" s="45"/>
      <c r="BE3" s="45"/>
      <c r="BF3" s="111" t="s">
        <v>1674</v>
      </c>
      <c r="BG3" s="111" t="s">
        <v>1674</v>
      </c>
      <c r="BH3" s="111" t="s">
        <v>1674</v>
      </c>
      <c r="BI3" s="111" t="s">
        <v>1674</v>
      </c>
    </row>
    <row r="4" spans="1:62" ht="41.45" customHeight="1">
      <c r="A4" s="62" t="s">
        <v>223</v>
      </c>
      <c r="C4" s="63"/>
      <c r="D4" s="63" t="s">
        <v>64</v>
      </c>
      <c r="E4" s="64">
        <v>810.7369406588311</v>
      </c>
      <c r="F4" s="66">
        <v>83.80839645711066</v>
      </c>
      <c r="G4" s="96" t="str">
        <f>HYPERLINK("https://i.ytimg.com/vi/JqQAFodjYBk/default.jpg")</f>
        <v>https://i.ytimg.com/vi/JqQAFodjYBk/default.jpg</v>
      </c>
      <c r="H4" s="63"/>
      <c r="I4" s="67" t="s">
        <v>1742</v>
      </c>
      <c r="J4" s="68"/>
      <c r="K4" s="68" t="s">
        <v>75</v>
      </c>
      <c r="L4" s="47" t="s">
        <v>1840</v>
      </c>
      <c r="M4" s="71">
        <v>1735.663094229532</v>
      </c>
      <c r="N4" s="72">
        <v>9343.8564453125</v>
      </c>
      <c r="O4" s="72">
        <v>7624.13232421875</v>
      </c>
      <c r="P4" s="73"/>
      <c r="Q4" s="74"/>
      <c r="R4" s="74"/>
      <c r="S4" s="82"/>
      <c r="T4" s="45">
        <v>9</v>
      </c>
      <c r="U4" s="45">
        <v>2</v>
      </c>
      <c r="V4" s="46">
        <v>494.767061</v>
      </c>
      <c r="W4" s="46">
        <v>0.453039</v>
      </c>
      <c r="X4" s="46">
        <v>0.085917</v>
      </c>
      <c r="Y4" s="46">
        <v>0.012288</v>
      </c>
      <c r="Z4" s="46">
        <v>0.19090909090909092</v>
      </c>
      <c r="AA4" s="46">
        <v>0</v>
      </c>
      <c r="AB4" s="69">
        <v>4</v>
      </c>
      <c r="AC4" s="69"/>
      <c r="AD4" s="70"/>
      <c r="AE4" s="77" t="s">
        <v>1742</v>
      </c>
      <c r="AF4" s="77" t="s">
        <v>1840</v>
      </c>
      <c r="AG4" s="77" t="s">
        <v>1935</v>
      </c>
      <c r="AH4" s="77" t="s">
        <v>2020</v>
      </c>
      <c r="AI4" s="77" t="s">
        <v>2085</v>
      </c>
      <c r="AJ4" s="77">
        <v>436094</v>
      </c>
      <c r="AK4" s="77">
        <v>781</v>
      </c>
      <c r="AL4" s="77">
        <v>20140</v>
      </c>
      <c r="AM4" s="77">
        <v>0</v>
      </c>
      <c r="AN4" s="77" t="s">
        <v>2181</v>
      </c>
      <c r="AO4" s="98" t="str">
        <f>HYPERLINK("https://www.youtube.com/watch?v=JqQAFodjYBk")</f>
        <v>https://www.youtube.com/watch?v=JqQAFodjYBk</v>
      </c>
      <c r="AP4" s="77" t="str">
        <f>REPLACE(INDEX(GroupVertices[Group],MATCH("~"&amp;Vertices[[#This Row],[Vertex]],GroupVertices[Vertex],0)),1,1,"")</f>
        <v>5</v>
      </c>
      <c r="AQ4" s="45">
        <v>2</v>
      </c>
      <c r="AR4" s="46">
        <v>1.7241379310344827</v>
      </c>
      <c r="AS4" s="45">
        <v>1</v>
      </c>
      <c r="AT4" s="46">
        <v>0.8620689655172413</v>
      </c>
      <c r="AU4" s="45">
        <v>0</v>
      </c>
      <c r="AV4" s="46">
        <v>0</v>
      </c>
      <c r="AW4" s="45">
        <v>90</v>
      </c>
      <c r="AX4" s="46">
        <v>77.58620689655173</v>
      </c>
      <c r="AY4" s="45">
        <v>116</v>
      </c>
      <c r="AZ4" s="45" t="s">
        <v>3452</v>
      </c>
      <c r="BA4" s="45" t="s">
        <v>3452</v>
      </c>
      <c r="BB4" s="45" t="s">
        <v>1670</v>
      </c>
      <c r="BC4" s="45" t="s">
        <v>1670</v>
      </c>
      <c r="BD4" s="45"/>
      <c r="BE4" s="45"/>
      <c r="BF4" s="111" t="s">
        <v>1674</v>
      </c>
      <c r="BG4" s="111" t="s">
        <v>1674</v>
      </c>
      <c r="BH4" s="111" t="s">
        <v>1674</v>
      </c>
      <c r="BI4" s="111" t="s">
        <v>1674</v>
      </c>
      <c r="BJ4" s="2"/>
    </row>
    <row r="5" spans="1:62" ht="41.45" customHeight="1">
      <c r="A5" s="62" t="s">
        <v>249</v>
      </c>
      <c r="C5" s="63"/>
      <c r="D5" s="63" t="s">
        <v>64</v>
      </c>
      <c r="E5" s="64">
        <v>506.28478560897355</v>
      </c>
      <c r="F5" s="66">
        <v>86.83042161615901</v>
      </c>
      <c r="G5" s="96" t="str">
        <f>HYPERLINK("https://i.ytimg.com/vi/1W0PDmVgplg/default.jpg")</f>
        <v>https://i.ytimg.com/vi/1W0PDmVgplg/default.jpg</v>
      </c>
      <c r="H5" s="63"/>
      <c r="I5" s="67" t="s">
        <v>1751</v>
      </c>
      <c r="J5" s="68"/>
      <c r="K5" s="68" t="s">
        <v>75</v>
      </c>
      <c r="L5" s="47" t="s">
        <v>1849</v>
      </c>
      <c r="M5" s="71">
        <v>103.64987594672237</v>
      </c>
      <c r="N5" s="72">
        <v>2116.433837890625</v>
      </c>
      <c r="O5" s="72">
        <v>2603.52587890625</v>
      </c>
      <c r="P5" s="73"/>
      <c r="Q5" s="74"/>
      <c r="R5" s="74"/>
      <c r="S5" s="82"/>
      <c r="T5" s="45">
        <v>19</v>
      </c>
      <c r="U5" s="45">
        <v>4</v>
      </c>
      <c r="V5" s="46">
        <v>402.422995</v>
      </c>
      <c r="W5" s="46">
        <v>0.522293</v>
      </c>
      <c r="X5" s="46">
        <v>0.158775</v>
      </c>
      <c r="Y5" s="46">
        <v>0.013923</v>
      </c>
      <c r="Z5" s="46">
        <v>0.1600790513833992</v>
      </c>
      <c r="AA5" s="46">
        <v>0</v>
      </c>
      <c r="AB5" s="69">
        <v>5</v>
      </c>
      <c r="AC5" s="69"/>
      <c r="AD5" s="70"/>
      <c r="AE5" s="77" t="s">
        <v>1751</v>
      </c>
      <c r="AF5" s="77" t="s">
        <v>1849</v>
      </c>
      <c r="AG5" s="77" t="s">
        <v>1942</v>
      </c>
      <c r="AH5" s="77" t="s">
        <v>2027</v>
      </c>
      <c r="AI5" s="77" t="s">
        <v>2094</v>
      </c>
      <c r="AJ5" s="77">
        <v>26079</v>
      </c>
      <c r="AK5" s="77">
        <v>155</v>
      </c>
      <c r="AL5" s="77">
        <v>785</v>
      </c>
      <c r="AM5" s="77">
        <v>0</v>
      </c>
      <c r="AN5" s="77" t="s">
        <v>2181</v>
      </c>
      <c r="AO5" s="98" t="str">
        <f>HYPERLINK("https://www.youtube.com/watch?v=1W0PDmVgplg")</f>
        <v>https://www.youtube.com/watch?v=1W0PDmVgplg</v>
      </c>
      <c r="AP5" s="77" t="str">
        <f>REPLACE(INDEX(GroupVertices[Group],MATCH("~"&amp;Vertices[[#This Row],[Vertex]],GroupVertices[Vertex],0)),1,1,"")</f>
        <v>2</v>
      </c>
      <c r="AQ5" s="45">
        <v>6</v>
      </c>
      <c r="AR5" s="46">
        <v>2.575107296137339</v>
      </c>
      <c r="AS5" s="45">
        <v>0</v>
      </c>
      <c r="AT5" s="46">
        <v>0</v>
      </c>
      <c r="AU5" s="45">
        <v>0</v>
      </c>
      <c r="AV5" s="46">
        <v>0</v>
      </c>
      <c r="AW5" s="45">
        <v>182</v>
      </c>
      <c r="AX5" s="46">
        <v>78.11158798283262</v>
      </c>
      <c r="AY5" s="45">
        <v>233</v>
      </c>
      <c r="AZ5" s="45"/>
      <c r="BA5" s="45"/>
      <c r="BB5" s="45"/>
      <c r="BC5" s="45"/>
      <c r="BD5" s="45"/>
      <c r="BE5" s="45"/>
      <c r="BF5" s="111" t="s">
        <v>1674</v>
      </c>
      <c r="BG5" s="111" t="s">
        <v>1674</v>
      </c>
      <c r="BH5" s="111" t="s">
        <v>1674</v>
      </c>
      <c r="BI5" s="111" t="s">
        <v>1674</v>
      </c>
      <c r="BJ5" s="2"/>
    </row>
    <row r="6" spans="1:62" ht="41.45" customHeight="1">
      <c r="A6" s="62" t="s">
        <v>260</v>
      </c>
      <c r="C6" s="63"/>
      <c r="D6" s="63" t="s">
        <v>64</v>
      </c>
      <c r="E6" s="64">
        <v>741.6301841572811</v>
      </c>
      <c r="F6" s="66">
        <v>87.11075070577166</v>
      </c>
      <c r="G6" s="96" t="str">
        <f>HYPERLINK("https://i.ytimg.com/vi/cRNcVbT0tQ8/default.jpg")</f>
        <v>https://i.ytimg.com/vi/cRNcVbT0tQ8/default.jpg</v>
      </c>
      <c r="H6" s="63"/>
      <c r="I6" s="67" t="s">
        <v>1784</v>
      </c>
      <c r="J6" s="68"/>
      <c r="K6" s="68" t="s">
        <v>75</v>
      </c>
      <c r="L6" s="47" t="s">
        <v>1880</v>
      </c>
      <c r="M6" s="71">
        <v>915.7139242239903</v>
      </c>
      <c r="N6" s="72">
        <v>1207.5201416015625</v>
      </c>
      <c r="O6" s="72">
        <v>5710.9091796875</v>
      </c>
      <c r="P6" s="73"/>
      <c r="Q6" s="74"/>
      <c r="R6" s="74"/>
      <c r="S6" s="82"/>
      <c r="T6" s="45">
        <v>7</v>
      </c>
      <c r="U6" s="45">
        <v>18</v>
      </c>
      <c r="V6" s="46">
        <v>393.856975</v>
      </c>
      <c r="W6" s="46">
        <v>0.543046</v>
      </c>
      <c r="X6" s="46">
        <v>0.201879</v>
      </c>
      <c r="Y6" s="46">
        <v>0.01401</v>
      </c>
      <c r="Z6" s="46">
        <v>0.17166666666666666</v>
      </c>
      <c r="AA6" s="46">
        <v>0</v>
      </c>
      <c r="AB6" s="69">
        <v>6</v>
      </c>
      <c r="AC6" s="69"/>
      <c r="AD6" s="70"/>
      <c r="AE6" s="77" t="s">
        <v>1784</v>
      </c>
      <c r="AF6" s="77" t="s">
        <v>1880</v>
      </c>
      <c r="AG6" s="77" t="s">
        <v>1969</v>
      </c>
      <c r="AH6" s="77" t="s">
        <v>2045</v>
      </c>
      <c r="AI6" s="77" t="s">
        <v>2127</v>
      </c>
      <c r="AJ6" s="77">
        <v>230096</v>
      </c>
      <c r="AK6" s="77">
        <v>124</v>
      </c>
      <c r="AL6" s="77">
        <v>3189</v>
      </c>
      <c r="AM6" s="77">
        <v>0</v>
      </c>
      <c r="AN6" s="77" t="s">
        <v>2181</v>
      </c>
      <c r="AO6" s="98" t="str">
        <f>HYPERLINK("https://www.youtube.com/watch?v=cRNcVbT0tQ8")</f>
        <v>https://www.youtube.com/watch?v=cRNcVbT0tQ8</v>
      </c>
      <c r="AP6" s="77" t="str">
        <f>REPLACE(INDEX(GroupVertices[Group],MATCH("~"&amp;Vertices[[#This Row],[Vertex]],GroupVertices[Vertex],0)),1,1,"")</f>
        <v>1</v>
      </c>
      <c r="AQ6" s="45">
        <v>7</v>
      </c>
      <c r="AR6" s="46">
        <v>2.9535864978902953</v>
      </c>
      <c r="AS6" s="45">
        <v>2</v>
      </c>
      <c r="AT6" s="46">
        <v>0.8438818565400844</v>
      </c>
      <c r="AU6" s="45">
        <v>0</v>
      </c>
      <c r="AV6" s="46">
        <v>0</v>
      </c>
      <c r="AW6" s="45">
        <v>174</v>
      </c>
      <c r="AX6" s="46">
        <v>73.41772151898734</v>
      </c>
      <c r="AY6" s="45">
        <v>237</v>
      </c>
      <c r="AZ6" s="45"/>
      <c r="BA6" s="45"/>
      <c r="BB6" s="45"/>
      <c r="BC6" s="45"/>
      <c r="BD6" s="45"/>
      <c r="BE6" s="45"/>
      <c r="BF6" s="111" t="s">
        <v>1674</v>
      </c>
      <c r="BG6" s="111" t="s">
        <v>1674</v>
      </c>
      <c r="BH6" s="111" t="s">
        <v>1674</v>
      </c>
      <c r="BI6" s="111" t="s">
        <v>1674</v>
      </c>
      <c r="BJ6" s="2"/>
    </row>
    <row r="7" spans="1:62" ht="41.45" customHeight="1">
      <c r="A7" s="62" t="s">
        <v>246</v>
      </c>
      <c r="C7" s="63"/>
      <c r="D7" s="63" t="s">
        <v>64</v>
      </c>
      <c r="E7" s="64">
        <v>663.7323494793964</v>
      </c>
      <c r="F7" s="66">
        <v>88.06923430343127</v>
      </c>
      <c r="G7" s="96" t="str">
        <f>HYPERLINK("https://i.ytimg.com/vi/sy6DtXbPzeM/default.jpg")</f>
        <v>https://i.ytimg.com/vi/sy6DtXbPzeM/default.jpg</v>
      </c>
      <c r="H7" s="63"/>
      <c r="I7" s="67" t="s">
        <v>1760</v>
      </c>
      <c r="J7" s="68"/>
      <c r="K7" s="68" t="s">
        <v>75</v>
      </c>
      <c r="L7" s="47" t="s">
        <v>1858</v>
      </c>
      <c r="M7" s="71">
        <v>445.3371573804534</v>
      </c>
      <c r="N7" s="72">
        <v>6222.22509765625</v>
      </c>
      <c r="O7" s="72">
        <v>6458.93310546875</v>
      </c>
      <c r="P7" s="73"/>
      <c r="Q7" s="74"/>
      <c r="R7" s="74"/>
      <c r="S7" s="82"/>
      <c r="T7" s="45">
        <v>14</v>
      </c>
      <c r="U7" s="45">
        <v>9</v>
      </c>
      <c r="V7" s="46">
        <v>364.568578</v>
      </c>
      <c r="W7" s="46">
        <v>0.515723</v>
      </c>
      <c r="X7" s="46">
        <v>0.169857</v>
      </c>
      <c r="Y7" s="46">
        <v>0.01451</v>
      </c>
      <c r="Z7" s="46">
        <v>0.13438735177865613</v>
      </c>
      <c r="AA7" s="46">
        <v>0</v>
      </c>
      <c r="AB7" s="69">
        <v>7</v>
      </c>
      <c r="AC7" s="69"/>
      <c r="AD7" s="70"/>
      <c r="AE7" s="77" t="s">
        <v>1760</v>
      </c>
      <c r="AF7" s="77" t="s">
        <v>1858</v>
      </c>
      <c r="AG7" s="77" t="s">
        <v>1951</v>
      </c>
      <c r="AH7" s="77" t="s">
        <v>2035</v>
      </c>
      <c r="AI7" s="77" t="s">
        <v>2103</v>
      </c>
      <c r="AJ7" s="77">
        <v>111922</v>
      </c>
      <c r="AK7" s="77">
        <v>185</v>
      </c>
      <c r="AL7" s="77">
        <v>3215</v>
      </c>
      <c r="AM7" s="77">
        <v>0</v>
      </c>
      <c r="AN7" s="77" t="s">
        <v>2181</v>
      </c>
      <c r="AO7" s="98" t="str">
        <f>HYPERLINK("https://www.youtube.com/watch?v=sy6DtXbPzeM")</f>
        <v>https://www.youtube.com/watch?v=sy6DtXbPzeM</v>
      </c>
      <c r="AP7" s="77" t="str">
        <f>REPLACE(INDEX(GroupVertices[Group],MATCH("~"&amp;Vertices[[#This Row],[Vertex]],GroupVertices[Vertex],0)),1,1,"")</f>
        <v>3</v>
      </c>
      <c r="AQ7" s="45">
        <v>5</v>
      </c>
      <c r="AR7" s="46">
        <v>8.620689655172415</v>
      </c>
      <c r="AS7" s="45">
        <v>1</v>
      </c>
      <c r="AT7" s="46">
        <v>1.7241379310344827</v>
      </c>
      <c r="AU7" s="45">
        <v>0</v>
      </c>
      <c r="AV7" s="46">
        <v>0</v>
      </c>
      <c r="AW7" s="45">
        <v>30</v>
      </c>
      <c r="AX7" s="46">
        <v>51.724137931034484</v>
      </c>
      <c r="AY7" s="45">
        <v>58</v>
      </c>
      <c r="AZ7" s="45" t="s">
        <v>3447</v>
      </c>
      <c r="BA7" s="45" t="s">
        <v>3447</v>
      </c>
      <c r="BB7" s="45" t="s">
        <v>1670</v>
      </c>
      <c r="BC7" s="45" t="s">
        <v>1670</v>
      </c>
      <c r="BD7" s="45"/>
      <c r="BE7" s="45"/>
      <c r="BF7" s="111" t="s">
        <v>1674</v>
      </c>
      <c r="BG7" s="111" t="s">
        <v>1674</v>
      </c>
      <c r="BH7" s="111" t="s">
        <v>1674</v>
      </c>
      <c r="BI7" s="111" t="s">
        <v>1674</v>
      </c>
      <c r="BJ7" s="2"/>
    </row>
    <row r="8" spans="1:62" ht="41.45" customHeight="1">
      <c r="A8" s="62" t="s">
        <v>228</v>
      </c>
      <c r="C8" s="63"/>
      <c r="D8" s="63" t="s">
        <v>64</v>
      </c>
      <c r="E8" s="64">
        <v>598.7671871967555</v>
      </c>
      <c r="F8" s="66">
        <v>88.1672204800454</v>
      </c>
      <c r="G8" s="96" t="str">
        <f>HYPERLINK("https://i.ytimg.com/vi/ajlFs92JZ0A/default.jpg")</f>
        <v>https://i.ytimg.com/vi/ajlFs92JZ0A/default.jpg</v>
      </c>
      <c r="H8" s="63"/>
      <c r="I8" s="67" t="s">
        <v>1754</v>
      </c>
      <c r="J8" s="68"/>
      <c r="K8" s="68" t="s">
        <v>75</v>
      </c>
      <c r="L8" s="47" t="s">
        <v>1852</v>
      </c>
      <c r="M8" s="71">
        <v>244.08146589888463</v>
      </c>
      <c r="N8" s="72">
        <v>1511.881103515625</v>
      </c>
      <c r="O8" s="72">
        <v>5524.07568359375</v>
      </c>
      <c r="P8" s="73"/>
      <c r="Q8" s="74"/>
      <c r="R8" s="74"/>
      <c r="S8" s="82"/>
      <c r="T8" s="45">
        <v>13</v>
      </c>
      <c r="U8" s="45">
        <v>9</v>
      </c>
      <c r="V8" s="46">
        <v>361.574413</v>
      </c>
      <c r="W8" s="46">
        <v>0.529032</v>
      </c>
      <c r="X8" s="46">
        <v>0.183126</v>
      </c>
      <c r="Y8" s="46">
        <v>0.013476</v>
      </c>
      <c r="Z8" s="46">
        <v>0.18831168831168832</v>
      </c>
      <c r="AA8" s="46">
        <v>0</v>
      </c>
      <c r="AB8" s="69">
        <v>8</v>
      </c>
      <c r="AC8" s="69"/>
      <c r="AD8" s="70"/>
      <c r="AE8" s="77" t="s">
        <v>1754</v>
      </c>
      <c r="AF8" s="77" t="s">
        <v>1852</v>
      </c>
      <c r="AG8" s="77" t="s">
        <v>1945</v>
      </c>
      <c r="AH8" s="77" t="s">
        <v>2029</v>
      </c>
      <c r="AI8" s="77" t="s">
        <v>2097</v>
      </c>
      <c r="AJ8" s="77">
        <v>61360</v>
      </c>
      <c r="AK8" s="77">
        <v>117</v>
      </c>
      <c r="AL8" s="77">
        <v>2583</v>
      </c>
      <c r="AM8" s="77">
        <v>0</v>
      </c>
      <c r="AN8" s="77" t="s">
        <v>2181</v>
      </c>
      <c r="AO8" s="98" t="str">
        <f>HYPERLINK("https://www.youtube.com/watch?v=ajlFs92JZ0A")</f>
        <v>https://www.youtube.com/watch?v=ajlFs92JZ0A</v>
      </c>
      <c r="AP8" s="77" t="str">
        <f>REPLACE(INDEX(GroupVertices[Group],MATCH("~"&amp;Vertices[[#This Row],[Vertex]],GroupVertices[Vertex],0)),1,1,"")</f>
        <v>1</v>
      </c>
      <c r="AQ8" s="45">
        <v>5</v>
      </c>
      <c r="AR8" s="46">
        <v>1.6129032258064515</v>
      </c>
      <c r="AS8" s="45">
        <v>2</v>
      </c>
      <c r="AT8" s="46">
        <v>0.6451612903225806</v>
      </c>
      <c r="AU8" s="45">
        <v>0</v>
      </c>
      <c r="AV8" s="46">
        <v>0</v>
      </c>
      <c r="AW8" s="45">
        <v>218</v>
      </c>
      <c r="AX8" s="46">
        <v>70.3225806451613</v>
      </c>
      <c r="AY8" s="45">
        <v>310</v>
      </c>
      <c r="AZ8" s="45"/>
      <c r="BA8" s="45"/>
      <c r="BB8" s="45"/>
      <c r="BC8" s="45"/>
      <c r="BD8" s="45"/>
      <c r="BE8" s="45"/>
      <c r="BF8" s="111" t="s">
        <v>1674</v>
      </c>
      <c r="BG8" s="111" t="s">
        <v>1674</v>
      </c>
      <c r="BH8" s="111" t="s">
        <v>1674</v>
      </c>
      <c r="BI8" s="111" t="s">
        <v>1674</v>
      </c>
      <c r="BJ8" s="2"/>
    </row>
    <row r="9" spans="1:62" ht="41.45" customHeight="1">
      <c r="A9" s="62" t="s">
        <v>280</v>
      </c>
      <c r="C9" s="63"/>
      <c r="D9" s="63" t="s">
        <v>64</v>
      </c>
      <c r="E9" s="64">
        <v>676.9964582367264</v>
      </c>
      <c r="F9" s="66">
        <v>89.44416235063908</v>
      </c>
      <c r="G9" s="96" t="str">
        <f>HYPERLINK("https://i.ytimg.com/vi/9ZXrkcS1hB8/default.jpg")</f>
        <v>https://i.ytimg.com/vi/9ZXrkcS1hB8/default.jpg</v>
      </c>
      <c r="H9" s="63"/>
      <c r="I9" s="67" t="s">
        <v>1809</v>
      </c>
      <c r="J9" s="68"/>
      <c r="K9" s="68" t="s">
        <v>75</v>
      </c>
      <c r="L9" s="47" t="s">
        <v>1905</v>
      </c>
      <c r="M9" s="71">
        <v>503.5023687965399</v>
      </c>
      <c r="N9" s="72">
        <v>6325.81982421875</v>
      </c>
      <c r="O9" s="72">
        <v>8377.7138671875</v>
      </c>
      <c r="P9" s="73"/>
      <c r="Q9" s="74"/>
      <c r="R9" s="74"/>
      <c r="S9" s="82"/>
      <c r="T9" s="45">
        <v>5</v>
      </c>
      <c r="U9" s="45">
        <v>23</v>
      </c>
      <c r="V9" s="46">
        <v>322.554882</v>
      </c>
      <c r="W9" s="46">
        <v>0.539474</v>
      </c>
      <c r="X9" s="46">
        <v>0.220876</v>
      </c>
      <c r="Y9" s="46">
        <v>0.014095</v>
      </c>
      <c r="Z9" s="46">
        <v>0.16005291005291006</v>
      </c>
      <c r="AA9" s="46">
        <v>0</v>
      </c>
      <c r="AB9" s="69">
        <v>9</v>
      </c>
      <c r="AC9" s="69"/>
      <c r="AD9" s="70"/>
      <c r="AE9" s="77" t="s">
        <v>1809</v>
      </c>
      <c r="AF9" s="77" t="s">
        <v>1905</v>
      </c>
      <c r="AG9" s="77" t="s">
        <v>1992</v>
      </c>
      <c r="AH9" s="77" t="s">
        <v>2062</v>
      </c>
      <c r="AI9" s="77" t="s">
        <v>2152</v>
      </c>
      <c r="AJ9" s="77">
        <v>126535</v>
      </c>
      <c r="AK9" s="77">
        <v>102</v>
      </c>
      <c r="AL9" s="77">
        <v>2797</v>
      </c>
      <c r="AM9" s="77">
        <v>0</v>
      </c>
      <c r="AN9" s="77" t="s">
        <v>2181</v>
      </c>
      <c r="AO9" s="98" t="str">
        <f>HYPERLINK("https://www.youtube.com/watch?v=9ZXrkcS1hB8")</f>
        <v>https://www.youtube.com/watch?v=9ZXrkcS1hB8</v>
      </c>
      <c r="AP9" s="77" t="str">
        <f>REPLACE(INDEX(GroupVertices[Group],MATCH("~"&amp;Vertices[[#This Row],[Vertex]],GroupVertices[Vertex],0)),1,1,"")</f>
        <v>3</v>
      </c>
      <c r="AQ9" s="45">
        <v>9</v>
      </c>
      <c r="AR9" s="46">
        <v>3.409090909090909</v>
      </c>
      <c r="AS9" s="45">
        <v>0</v>
      </c>
      <c r="AT9" s="46">
        <v>0</v>
      </c>
      <c r="AU9" s="45">
        <v>0</v>
      </c>
      <c r="AV9" s="46">
        <v>0</v>
      </c>
      <c r="AW9" s="45">
        <v>169</v>
      </c>
      <c r="AX9" s="46">
        <v>64.01515151515152</v>
      </c>
      <c r="AY9" s="45">
        <v>264</v>
      </c>
      <c r="AZ9" s="45" t="s">
        <v>3579</v>
      </c>
      <c r="BA9" s="45" t="s">
        <v>3586</v>
      </c>
      <c r="BB9" s="45" t="s">
        <v>1670</v>
      </c>
      <c r="BC9" s="45" t="s">
        <v>1670</v>
      </c>
      <c r="BD9" s="45"/>
      <c r="BE9" s="45"/>
      <c r="BF9" s="111" t="s">
        <v>1674</v>
      </c>
      <c r="BG9" s="111" t="s">
        <v>1674</v>
      </c>
      <c r="BH9" s="111" t="s">
        <v>1674</v>
      </c>
      <c r="BI9" s="111" t="s">
        <v>1674</v>
      </c>
      <c r="BJ9" s="2"/>
    </row>
    <row r="10" spans="1:62" ht="41.45" customHeight="1">
      <c r="A10" s="62" t="s">
        <v>291</v>
      </c>
      <c r="C10" s="63"/>
      <c r="D10" s="63" t="s">
        <v>64</v>
      </c>
      <c r="E10" s="64">
        <v>625.2032560193024</v>
      </c>
      <c r="F10" s="66">
        <v>89.5277726790212</v>
      </c>
      <c r="G10" s="96" t="str">
        <f>HYPERLINK("https://i.ytimg.com/vi/LhM01tDbPf4/default.jpg")</f>
        <v>https://i.ytimg.com/vi/LhM01tDbPf4/default.jpg</v>
      </c>
      <c r="H10" s="63"/>
      <c r="I10" s="67" t="s">
        <v>1743</v>
      </c>
      <c r="J10" s="68"/>
      <c r="K10" s="68" t="s">
        <v>75</v>
      </c>
      <c r="L10" s="47" t="s">
        <v>1841</v>
      </c>
      <c r="M10" s="71">
        <v>311.7557918070693</v>
      </c>
      <c r="N10" s="72">
        <v>9428.7275390625</v>
      </c>
      <c r="O10" s="72">
        <v>6501.392578125</v>
      </c>
      <c r="P10" s="73"/>
      <c r="Q10" s="74"/>
      <c r="R10" s="74"/>
      <c r="S10" s="82"/>
      <c r="T10" s="45">
        <v>2</v>
      </c>
      <c r="U10" s="45">
        <v>0</v>
      </c>
      <c r="V10" s="46">
        <v>320</v>
      </c>
      <c r="W10" s="46">
        <v>0.317829</v>
      </c>
      <c r="X10" s="46">
        <v>0.004995</v>
      </c>
      <c r="Y10" s="46">
        <v>0.011367</v>
      </c>
      <c r="Z10" s="46">
        <v>0</v>
      </c>
      <c r="AA10" s="46">
        <v>0</v>
      </c>
      <c r="AB10" s="69">
        <v>10</v>
      </c>
      <c r="AC10" s="69"/>
      <c r="AD10" s="70"/>
      <c r="AE10" s="77" t="s">
        <v>1743</v>
      </c>
      <c r="AF10" s="77" t="s">
        <v>1841</v>
      </c>
      <c r="AG10" s="77"/>
      <c r="AH10" s="77" t="s">
        <v>2021</v>
      </c>
      <c r="AI10" s="77" t="s">
        <v>2086</v>
      </c>
      <c r="AJ10" s="77">
        <v>78362</v>
      </c>
      <c r="AK10" s="77">
        <v>147</v>
      </c>
      <c r="AL10" s="77">
        <v>5477</v>
      </c>
      <c r="AM10" s="77">
        <v>0</v>
      </c>
      <c r="AN10" s="77" t="s">
        <v>2181</v>
      </c>
      <c r="AO10" s="98" t="str">
        <f>HYPERLINK("https://www.youtube.com/watch?v=LhM01tDbPf4")</f>
        <v>https://www.youtube.com/watch?v=LhM01tDbPf4</v>
      </c>
      <c r="AP10" s="77" t="str">
        <f>REPLACE(INDEX(GroupVertices[Group],MATCH("~"&amp;Vertices[[#This Row],[Vertex]],GroupVertices[Vertex],0)),1,1,"")</f>
        <v>5</v>
      </c>
      <c r="AQ10" s="45">
        <v>1</v>
      </c>
      <c r="AR10" s="46">
        <v>2</v>
      </c>
      <c r="AS10" s="45">
        <v>2</v>
      </c>
      <c r="AT10" s="46">
        <v>4</v>
      </c>
      <c r="AU10" s="45">
        <v>0</v>
      </c>
      <c r="AV10" s="46">
        <v>0</v>
      </c>
      <c r="AW10" s="45">
        <v>45</v>
      </c>
      <c r="AX10" s="46">
        <v>90</v>
      </c>
      <c r="AY10" s="45">
        <v>50</v>
      </c>
      <c r="AZ10" s="45"/>
      <c r="BA10" s="45"/>
      <c r="BB10" s="45"/>
      <c r="BC10" s="45"/>
      <c r="BD10" s="45"/>
      <c r="BE10" s="45"/>
      <c r="BF10" s="45"/>
      <c r="BG10" s="45"/>
      <c r="BH10" s="45"/>
      <c r="BI10" s="45"/>
      <c r="BJ10" s="2"/>
    </row>
    <row r="11" spans="1:62" ht="41.45" customHeight="1">
      <c r="A11" s="62" t="s">
        <v>231</v>
      </c>
      <c r="C11" s="63"/>
      <c r="D11" s="63" t="s">
        <v>64</v>
      </c>
      <c r="E11" s="64">
        <v>669.0665357643826</v>
      </c>
      <c r="F11" s="66">
        <v>89.5277726790212</v>
      </c>
      <c r="G11" s="96" t="str">
        <f>HYPERLINK("https://i.ytimg.com/vi/MtSJWWKb7K0/default.jpg")</f>
        <v>https://i.ytimg.com/vi/MtSJWWKb7K0/default.jpg</v>
      </c>
      <c r="H11" s="63"/>
      <c r="I11" s="67" t="s">
        <v>1761</v>
      </c>
      <c r="J11" s="68"/>
      <c r="K11" s="68" t="s">
        <v>75</v>
      </c>
      <c r="L11" s="67"/>
      <c r="M11" s="71">
        <v>467.87403735293555</v>
      </c>
      <c r="N11" s="72">
        <v>9231.4267578125</v>
      </c>
      <c r="O11" s="72">
        <v>1860.0501708984375</v>
      </c>
      <c r="P11" s="73"/>
      <c r="Q11" s="74"/>
      <c r="R11" s="74"/>
      <c r="S11" s="82"/>
      <c r="T11" s="45">
        <v>2</v>
      </c>
      <c r="U11" s="45">
        <v>1</v>
      </c>
      <c r="V11" s="46">
        <v>320</v>
      </c>
      <c r="W11" s="46">
        <v>0.37963</v>
      </c>
      <c r="X11" s="46">
        <v>0.016076</v>
      </c>
      <c r="Y11" s="46">
        <v>0.012067</v>
      </c>
      <c r="Z11" s="46">
        <v>0.16666666666666666</v>
      </c>
      <c r="AA11" s="46">
        <v>0</v>
      </c>
      <c r="AB11" s="69">
        <v>11</v>
      </c>
      <c r="AC11" s="69"/>
      <c r="AD11" s="70"/>
      <c r="AE11" s="77" t="s">
        <v>1761</v>
      </c>
      <c r="AF11" s="77"/>
      <c r="AG11" s="77"/>
      <c r="AH11" s="77" t="s">
        <v>2036</v>
      </c>
      <c r="AI11" s="77" t="s">
        <v>2104</v>
      </c>
      <c r="AJ11" s="77">
        <v>117584</v>
      </c>
      <c r="AK11" s="77">
        <v>123</v>
      </c>
      <c r="AL11" s="77">
        <v>14949</v>
      </c>
      <c r="AM11" s="77">
        <v>0</v>
      </c>
      <c r="AN11" s="77" t="s">
        <v>2181</v>
      </c>
      <c r="AO11" s="98" t="str">
        <f>HYPERLINK("https://www.youtube.com/watch?v=MtSJWWKb7K0")</f>
        <v>https://www.youtube.com/watch?v=MtSJWWKb7K0</v>
      </c>
      <c r="AP11" s="77" t="str">
        <f>REPLACE(INDEX(GroupVertices[Group],MATCH("~"&amp;Vertices[[#This Row],[Vertex]],GroupVertices[Vertex],0)),1,1,"")</f>
        <v>7</v>
      </c>
      <c r="AQ11" s="45"/>
      <c r="AR11" s="46"/>
      <c r="AS11" s="45"/>
      <c r="AT11" s="46"/>
      <c r="AU11" s="45"/>
      <c r="AV11" s="46"/>
      <c r="AW11" s="45"/>
      <c r="AX11" s="46"/>
      <c r="AY11" s="45"/>
      <c r="AZ11" s="45"/>
      <c r="BA11" s="45"/>
      <c r="BB11" s="45"/>
      <c r="BC11" s="45"/>
      <c r="BD11" s="45"/>
      <c r="BE11" s="45"/>
      <c r="BF11" s="111" t="s">
        <v>1674</v>
      </c>
      <c r="BG11" s="111" t="s">
        <v>1674</v>
      </c>
      <c r="BH11" s="111" t="s">
        <v>1674</v>
      </c>
      <c r="BI11" s="111" t="s">
        <v>1674</v>
      </c>
      <c r="BJ11" s="2"/>
    </row>
    <row r="12" spans="1:62" ht="41.45" customHeight="1">
      <c r="A12" s="62" t="s">
        <v>268</v>
      </c>
      <c r="C12" s="63"/>
      <c r="D12" s="63" t="s">
        <v>64</v>
      </c>
      <c r="E12" s="64">
        <v>540.6885983323021</v>
      </c>
      <c r="F12" s="66">
        <v>90.73297615991233</v>
      </c>
      <c r="G12" s="96" t="str">
        <f>HYPERLINK("https://i.ytimg.com/vi/NPDS33uD5j4/default.jpg")</f>
        <v>https://i.ytimg.com/vi/NPDS33uD5j4/default.jpg</v>
      </c>
      <c r="H12" s="63"/>
      <c r="I12" s="67" t="s">
        <v>1741</v>
      </c>
      <c r="J12" s="68"/>
      <c r="K12" s="68" t="s">
        <v>75</v>
      </c>
      <c r="L12" s="47" t="s">
        <v>1839</v>
      </c>
      <c r="M12" s="71">
        <v>142.5540555389231</v>
      </c>
      <c r="N12" s="72">
        <v>8627.9892578125</v>
      </c>
      <c r="O12" s="72">
        <v>269.2726745605469</v>
      </c>
      <c r="P12" s="73"/>
      <c r="Q12" s="74"/>
      <c r="R12" s="74"/>
      <c r="S12" s="82"/>
      <c r="T12" s="45">
        <v>12</v>
      </c>
      <c r="U12" s="45">
        <v>4</v>
      </c>
      <c r="V12" s="46">
        <v>283.17258</v>
      </c>
      <c r="W12" s="46">
        <v>0.49697</v>
      </c>
      <c r="X12" s="46">
        <v>0.115292</v>
      </c>
      <c r="Y12" s="46">
        <v>0.013422</v>
      </c>
      <c r="Z12" s="46">
        <v>0.15416666666666667</v>
      </c>
      <c r="AA12" s="46">
        <v>0</v>
      </c>
      <c r="AB12" s="69">
        <v>12</v>
      </c>
      <c r="AC12" s="69"/>
      <c r="AD12" s="70"/>
      <c r="AE12" s="77" t="s">
        <v>1741</v>
      </c>
      <c r="AF12" s="77" t="s">
        <v>1839</v>
      </c>
      <c r="AG12" s="77" t="s">
        <v>1934</v>
      </c>
      <c r="AH12" s="77" t="s">
        <v>2019</v>
      </c>
      <c r="AI12" s="77" t="s">
        <v>2084</v>
      </c>
      <c r="AJ12" s="77">
        <v>35853</v>
      </c>
      <c r="AK12" s="77">
        <v>132</v>
      </c>
      <c r="AL12" s="77">
        <v>1162</v>
      </c>
      <c r="AM12" s="77">
        <v>0</v>
      </c>
      <c r="AN12" s="77" t="s">
        <v>2181</v>
      </c>
      <c r="AO12" s="98" t="str">
        <f>HYPERLINK("https://www.youtube.com/watch?v=NPDS33uD5j4")</f>
        <v>https://www.youtube.com/watch?v=NPDS33uD5j4</v>
      </c>
      <c r="AP12" s="77" t="str">
        <f>REPLACE(INDEX(GroupVertices[Group],MATCH("~"&amp;Vertices[[#This Row],[Vertex]],GroupVertices[Vertex],0)),1,1,"")</f>
        <v>6</v>
      </c>
      <c r="AQ12" s="45">
        <v>8</v>
      </c>
      <c r="AR12" s="46">
        <v>3.2653061224489797</v>
      </c>
      <c r="AS12" s="45">
        <v>1</v>
      </c>
      <c r="AT12" s="46">
        <v>0.40816326530612246</v>
      </c>
      <c r="AU12" s="45">
        <v>0</v>
      </c>
      <c r="AV12" s="46">
        <v>0</v>
      </c>
      <c r="AW12" s="45">
        <v>185</v>
      </c>
      <c r="AX12" s="46">
        <v>75.51020408163265</v>
      </c>
      <c r="AY12" s="45">
        <v>245</v>
      </c>
      <c r="AZ12" s="45" t="s">
        <v>3455</v>
      </c>
      <c r="BA12" s="45" t="s">
        <v>3455</v>
      </c>
      <c r="BB12" s="45" t="s">
        <v>1670</v>
      </c>
      <c r="BC12" s="45" t="s">
        <v>1670</v>
      </c>
      <c r="BD12" s="45"/>
      <c r="BE12" s="45"/>
      <c r="BF12" s="111" t="s">
        <v>1674</v>
      </c>
      <c r="BG12" s="111" t="s">
        <v>1674</v>
      </c>
      <c r="BH12" s="111" t="s">
        <v>1674</v>
      </c>
      <c r="BI12" s="111" t="s">
        <v>1674</v>
      </c>
      <c r="BJ12" s="2"/>
    </row>
    <row r="13" spans="1:62" ht="41.45" customHeight="1">
      <c r="A13" s="62" t="s">
        <v>248</v>
      </c>
      <c r="C13" s="63"/>
      <c r="D13" s="63" t="s">
        <v>64</v>
      </c>
      <c r="E13" s="64">
        <v>479.0640597298575</v>
      </c>
      <c r="F13" s="66">
        <v>90.96800949561359</v>
      </c>
      <c r="G13" s="96" t="str">
        <f>HYPERLINK("https://i.ytimg.com/vi/fNGTWxDZrWY/default.jpg")</f>
        <v>https://i.ytimg.com/vi/fNGTWxDZrWY/default.jpg</v>
      </c>
      <c r="H13" s="63"/>
      <c r="I13" s="67" t="s">
        <v>1765</v>
      </c>
      <c r="J13" s="68"/>
      <c r="K13" s="68" t="s">
        <v>75</v>
      </c>
      <c r="L13" s="47" t="s">
        <v>1861</v>
      </c>
      <c r="M13" s="71">
        <v>80.5398220575964</v>
      </c>
      <c r="N13" s="72">
        <v>2289.5263671875</v>
      </c>
      <c r="O13" s="72">
        <v>7077.57275390625</v>
      </c>
      <c r="P13" s="73"/>
      <c r="Q13" s="74"/>
      <c r="R13" s="74"/>
      <c r="S13" s="82"/>
      <c r="T13" s="45">
        <v>19</v>
      </c>
      <c r="U13" s="45">
        <v>1</v>
      </c>
      <c r="V13" s="46">
        <v>275.990663</v>
      </c>
      <c r="W13" s="46">
        <v>0.509317</v>
      </c>
      <c r="X13" s="46">
        <v>0.166369</v>
      </c>
      <c r="Y13" s="46">
        <v>0.013462</v>
      </c>
      <c r="Z13" s="46">
        <v>0.1868421052631579</v>
      </c>
      <c r="AA13" s="46">
        <v>0</v>
      </c>
      <c r="AB13" s="69">
        <v>13</v>
      </c>
      <c r="AC13" s="69"/>
      <c r="AD13" s="70"/>
      <c r="AE13" s="77" t="s">
        <v>1765</v>
      </c>
      <c r="AF13" s="77" t="s">
        <v>1861</v>
      </c>
      <c r="AG13" s="77" t="s">
        <v>1954</v>
      </c>
      <c r="AH13" s="77" t="s">
        <v>2039</v>
      </c>
      <c r="AI13" s="77" t="s">
        <v>2108</v>
      </c>
      <c r="AJ13" s="77">
        <v>20273</v>
      </c>
      <c r="AK13" s="77">
        <v>58</v>
      </c>
      <c r="AL13" s="77">
        <v>418</v>
      </c>
      <c r="AM13" s="77">
        <v>0</v>
      </c>
      <c r="AN13" s="77" t="s">
        <v>2181</v>
      </c>
      <c r="AO13" s="98" t="str">
        <f>HYPERLINK("https://www.youtube.com/watch?v=fNGTWxDZrWY")</f>
        <v>https://www.youtube.com/watch?v=fNGTWxDZrWY</v>
      </c>
      <c r="AP13" s="77" t="str">
        <f>REPLACE(INDEX(GroupVertices[Group],MATCH("~"&amp;Vertices[[#This Row],[Vertex]],GroupVertices[Vertex],0)),1,1,"")</f>
        <v>1</v>
      </c>
      <c r="AQ13" s="45">
        <v>0</v>
      </c>
      <c r="AR13" s="46">
        <v>0</v>
      </c>
      <c r="AS13" s="45">
        <v>1</v>
      </c>
      <c r="AT13" s="46">
        <v>1.8181818181818181</v>
      </c>
      <c r="AU13" s="45">
        <v>0</v>
      </c>
      <c r="AV13" s="46">
        <v>0</v>
      </c>
      <c r="AW13" s="45">
        <v>37</v>
      </c>
      <c r="AX13" s="46">
        <v>67.27272727272727</v>
      </c>
      <c r="AY13" s="45">
        <v>55</v>
      </c>
      <c r="AZ13" s="45"/>
      <c r="BA13" s="45"/>
      <c r="BB13" s="45"/>
      <c r="BC13" s="45"/>
      <c r="BD13" s="45"/>
      <c r="BE13" s="45"/>
      <c r="BF13" s="111" t="s">
        <v>1674</v>
      </c>
      <c r="BG13" s="111" t="s">
        <v>1674</v>
      </c>
      <c r="BH13" s="111" t="s">
        <v>1674</v>
      </c>
      <c r="BI13" s="111" t="s">
        <v>1674</v>
      </c>
      <c r="BJ13" s="2"/>
    </row>
    <row r="14" spans="1:62" ht="41.45" customHeight="1">
      <c r="A14" s="62" t="s">
        <v>273</v>
      </c>
      <c r="C14" s="63"/>
      <c r="D14" s="63" t="s">
        <v>64</v>
      </c>
      <c r="E14" s="64">
        <v>628.3380926394362</v>
      </c>
      <c r="F14" s="66">
        <v>91.21674884970682</v>
      </c>
      <c r="G14" s="96" t="str">
        <f>HYPERLINK("https://i.ytimg.com/vi/jq-cmxiPgH0/default.jpg")</f>
        <v>https://i.ytimg.com/vi/jq-cmxiPgH0/default.jpg</v>
      </c>
      <c r="H14" s="63"/>
      <c r="I14" s="67" t="s">
        <v>1800</v>
      </c>
      <c r="J14" s="68"/>
      <c r="K14" s="68" t="s">
        <v>75</v>
      </c>
      <c r="L14" s="47" t="s">
        <v>1896</v>
      </c>
      <c r="M14" s="71">
        <v>320.934535222213</v>
      </c>
      <c r="N14" s="72">
        <v>8755.3828125</v>
      </c>
      <c r="O14" s="72">
        <v>2273.818603515625</v>
      </c>
      <c r="P14" s="73"/>
      <c r="Q14" s="74"/>
      <c r="R14" s="74"/>
      <c r="S14" s="82"/>
      <c r="T14" s="45">
        <v>3</v>
      </c>
      <c r="U14" s="45">
        <v>11</v>
      </c>
      <c r="V14" s="46">
        <v>268.389931</v>
      </c>
      <c r="W14" s="46">
        <v>0.473988</v>
      </c>
      <c r="X14" s="46">
        <v>0.092037</v>
      </c>
      <c r="Y14" s="46">
        <v>0.014247</v>
      </c>
      <c r="Z14" s="46">
        <v>0.12637362637362637</v>
      </c>
      <c r="AA14" s="46">
        <v>0</v>
      </c>
      <c r="AB14" s="69">
        <v>14</v>
      </c>
      <c r="AC14" s="69"/>
      <c r="AD14" s="70"/>
      <c r="AE14" s="77" t="s">
        <v>1800</v>
      </c>
      <c r="AF14" s="77" t="s">
        <v>1896</v>
      </c>
      <c r="AG14" s="77" t="s">
        <v>1984</v>
      </c>
      <c r="AH14" s="77" t="s">
        <v>2027</v>
      </c>
      <c r="AI14" s="77" t="s">
        <v>2143</v>
      </c>
      <c r="AJ14" s="77">
        <v>80668</v>
      </c>
      <c r="AK14" s="77">
        <v>194</v>
      </c>
      <c r="AL14" s="77">
        <v>3594</v>
      </c>
      <c r="AM14" s="77">
        <v>0</v>
      </c>
      <c r="AN14" s="77" t="s">
        <v>2181</v>
      </c>
      <c r="AO14" s="98" t="str">
        <f>HYPERLINK("https://www.youtube.com/watch?v=jq-cmxiPgH0")</f>
        <v>https://www.youtube.com/watch?v=jq-cmxiPgH0</v>
      </c>
      <c r="AP14" s="77" t="str">
        <f>REPLACE(INDEX(GroupVertices[Group],MATCH("~"&amp;Vertices[[#This Row],[Vertex]],GroupVertices[Vertex],0)),1,1,"")</f>
        <v>6</v>
      </c>
      <c r="AQ14" s="45">
        <v>12</v>
      </c>
      <c r="AR14" s="46">
        <v>3.6036036036036037</v>
      </c>
      <c r="AS14" s="45">
        <v>2</v>
      </c>
      <c r="AT14" s="46">
        <v>0.6006006006006006</v>
      </c>
      <c r="AU14" s="45">
        <v>0</v>
      </c>
      <c r="AV14" s="46">
        <v>0</v>
      </c>
      <c r="AW14" s="45">
        <v>239</v>
      </c>
      <c r="AX14" s="46">
        <v>71.77177177177177</v>
      </c>
      <c r="AY14" s="45">
        <v>333</v>
      </c>
      <c r="AZ14" s="45"/>
      <c r="BA14" s="45"/>
      <c r="BB14" s="45"/>
      <c r="BC14" s="45"/>
      <c r="BD14" s="45"/>
      <c r="BE14" s="45"/>
      <c r="BF14" s="111" t="s">
        <v>1674</v>
      </c>
      <c r="BG14" s="111" t="s">
        <v>1674</v>
      </c>
      <c r="BH14" s="111" t="s">
        <v>1674</v>
      </c>
      <c r="BI14" s="111" t="s">
        <v>1674</v>
      </c>
      <c r="BJ14" s="2"/>
    </row>
    <row r="15" spans="1:62" ht="41.45" customHeight="1">
      <c r="A15" s="62" t="s">
        <v>225</v>
      </c>
      <c r="C15" s="63"/>
      <c r="D15" s="63" t="s">
        <v>64</v>
      </c>
      <c r="E15" s="64">
        <v>733.1543704328063</v>
      </c>
      <c r="F15" s="66">
        <v>91.25503439647244</v>
      </c>
      <c r="G15" s="96" t="str">
        <f>HYPERLINK("https://i.ytimg.com/vi/Hofo1zW5V98/default.jpg")</f>
        <v>https://i.ytimg.com/vi/Hofo1zW5V98/default.jpg</v>
      </c>
      <c r="H15" s="63"/>
      <c r="I15" s="67" t="s">
        <v>1746</v>
      </c>
      <c r="J15" s="68"/>
      <c r="K15" s="68" t="s">
        <v>75</v>
      </c>
      <c r="L15" s="47" t="s">
        <v>1844</v>
      </c>
      <c r="M15" s="71">
        <v>846.6385065195651</v>
      </c>
      <c r="N15" s="72">
        <v>3174.160400390625</v>
      </c>
      <c r="O15" s="72">
        <v>1727.44775390625</v>
      </c>
      <c r="P15" s="73"/>
      <c r="Q15" s="74"/>
      <c r="R15" s="74"/>
      <c r="S15" s="82"/>
      <c r="T15" s="45">
        <v>3</v>
      </c>
      <c r="U15" s="45">
        <v>5</v>
      </c>
      <c r="V15" s="46">
        <v>267.220039</v>
      </c>
      <c r="W15" s="46">
        <v>0.388626</v>
      </c>
      <c r="X15" s="46">
        <v>0.026084</v>
      </c>
      <c r="Y15" s="46">
        <v>0.01389</v>
      </c>
      <c r="Z15" s="46">
        <v>0.16071428571428573</v>
      </c>
      <c r="AA15" s="46">
        <v>0</v>
      </c>
      <c r="AB15" s="69">
        <v>15</v>
      </c>
      <c r="AC15" s="69"/>
      <c r="AD15" s="70"/>
      <c r="AE15" s="77" t="s">
        <v>1746</v>
      </c>
      <c r="AF15" s="77" t="s">
        <v>1844</v>
      </c>
      <c r="AG15" s="77" t="s">
        <v>1938</v>
      </c>
      <c r="AH15" s="77" t="s">
        <v>2023</v>
      </c>
      <c r="AI15" s="77" t="s">
        <v>2089</v>
      </c>
      <c r="AJ15" s="77">
        <v>212742</v>
      </c>
      <c r="AK15" s="77">
        <v>26</v>
      </c>
      <c r="AL15" s="77">
        <v>108</v>
      </c>
      <c r="AM15" s="77">
        <v>0</v>
      </c>
      <c r="AN15" s="77" t="s">
        <v>2181</v>
      </c>
      <c r="AO15" s="98" t="str">
        <f>HYPERLINK("https://www.youtube.com/watch?v=Hofo1zW5V98")</f>
        <v>https://www.youtube.com/watch?v=Hofo1zW5V98</v>
      </c>
      <c r="AP15" s="77" t="str">
        <f>REPLACE(INDEX(GroupVertices[Group],MATCH("~"&amp;Vertices[[#This Row],[Vertex]],GroupVertices[Vertex],0)),1,1,"")</f>
        <v>2</v>
      </c>
      <c r="AQ15" s="45">
        <v>7</v>
      </c>
      <c r="AR15" s="46">
        <v>3.910614525139665</v>
      </c>
      <c r="AS15" s="45">
        <v>0</v>
      </c>
      <c r="AT15" s="46">
        <v>0</v>
      </c>
      <c r="AU15" s="45">
        <v>0</v>
      </c>
      <c r="AV15" s="46">
        <v>0</v>
      </c>
      <c r="AW15" s="45">
        <v>141</v>
      </c>
      <c r="AX15" s="46">
        <v>78.77094972067039</v>
      </c>
      <c r="AY15" s="45">
        <v>179</v>
      </c>
      <c r="AZ15" s="45" t="s">
        <v>3575</v>
      </c>
      <c r="BA15" s="45" t="s">
        <v>3575</v>
      </c>
      <c r="BB15" s="45" t="s">
        <v>1670</v>
      </c>
      <c r="BC15" s="45" t="s">
        <v>1670</v>
      </c>
      <c r="BD15" s="45"/>
      <c r="BE15" s="45"/>
      <c r="BF15" s="111" t="s">
        <v>1674</v>
      </c>
      <c r="BG15" s="111" t="s">
        <v>1674</v>
      </c>
      <c r="BH15" s="111" t="s">
        <v>1674</v>
      </c>
      <c r="BI15" s="111" t="s">
        <v>1674</v>
      </c>
      <c r="BJ15" s="2"/>
    </row>
    <row r="16" spans="1:62" ht="41.45" customHeight="1">
      <c r="A16" s="62" t="s">
        <v>237</v>
      </c>
      <c r="C16" s="63"/>
      <c r="D16" s="63" t="s">
        <v>64</v>
      </c>
      <c r="E16" s="64">
        <v>569.6898190755187</v>
      </c>
      <c r="F16" s="66">
        <v>91.71457111240086</v>
      </c>
      <c r="G16" s="96" t="str">
        <f>HYPERLINK("https://i.ytimg.com/vi/L1dEFfar3WY/default.jpg")</f>
        <v>https://i.ytimg.com/vi/L1dEFfar3WY/default.jpg</v>
      </c>
      <c r="H16" s="63"/>
      <c r="I16" s="67" t="s">
        <v>1768</v>
      </c>
      <c r="J16" s="68"/>
      <c r="K16" s="68" t="s">
        <v>75</v>
      </c>
      <c r="L16" s="47" t="s">
        <v>1864</v>
      </c>
      <c r="M16" s="71">
        <v>186.47350690175745</v>
      </c>
      <c r="N16" s="72">
        <v>9336.0625</v>
      </c>
      <c r="O16" s="72">
        <v>8722.4365234375</v>
      </c>
      <c r="P16" s="73"/>
      <c r="Q16" s="74"/>
      <c r="R16" s="74"/>
      <c r="S16" s="82"/>
      <c r="T16" s="45">
        <v>8</v>
      </c>
      <c r="U16" s="45">
        <v>14</v>
      </c>
      <c r="V16" s="46">
        <v>253.177969</v>
      </c>
      <c r="W16" s="46">
        <v>0.515723</v>
      </c>
      <c r="X16" s="46">
        <v>0.165832</v>
      </c>
      <c r="Y16" s="46">
        <v>0.013696</v>
      </c>
      <c r="Z16" s="46">
        <v>0.15151515151515152</v>
      </c>
      <c r="AA16" s="46">
        <v>0</v>
      </c>
      <c r="AB16" s="69">
        <v>16</v>
      </c>
      <c r="AC16" s="69"/>
      <c r="AD16" s="70"/>
      <c r="AE16" s="77" t="s">
        <v>1768</v>
      </c>
      <c r="AF16" s="77" t="s">
        <v>1864</v>
      </c>
      <c r="AG16" s="77" t="s">
        <v>1957</v>
      </c>
      <c r="AH16" s="77" t="s">
        <v>2041</v>
      </c>
      <c r="AI16" s="77" t="s">
        <v>2111</v>
      </c>
      <c r="AJ16" s="77">
        <v>46887</v>
      </c>
      <c r="AK16" s="77">
        <v>99</v>
      </c>
      <c r="AL16" s="77">
        <v>921</v>
      </c>
      <c r="AM16" s="77">
        <v>0</v>
      </c>
      <c r="AN16" s="77" t="s">
        <v>2181</v>
      </c>
      <c r="AO16" s="98" t="str">
        <f>HYPERLINK("https://www.youtube.com/watch?v=L1dEFfar3WY")</f>
        <v>https://www.youtube.com/watch?v=L1dEFfar3WY</v>
      </c>
      <c r="AP16" s="77" t="str">
        <f>REPLACE(INDEX(GroupVertices[Group],MATCH("~"&amp;Vertices[[#This Row],[Vertex]],GroupVertices[Vertex],0)),1,1,"")</f>
        <v>5</v>
      </c>
      <c r="AQ16" s="45">
        <v>0</v>
      </c>
      <c r="AR16" s="46">
        <v>0</v>
      </c>
      <c r="AS16" s="45">
        <v>0</v>
      </c>
      <c r="AT16" s="46">
        <v>0</v>
      </c>
      <c r="AU16" s="45">
        <v>0</v>
      </c>
      <c r="AV16" s="46">
        <v>0</v>
      </c>
      <c r="AW16" s="45">
        <v>37</v>
      </c>
      <c r="AX16" s="46">
        <v>68.51851851851852</v>
      </c>
      <c r="AY16" s="45">
        <v>54</v>
      </c>
      <c r="AZ16" s="45"/>
      <c r="BA16" s="45"/>
      <c r="BB16" s="45"/>
      <c r="BC16" s="45"/>
      <c r="BD16" s="45"/>
      <c r="BE16" s="45"/>
      <c r="BF16" s="111" t="s">
        <v>1674</v>
      </c>
      <c r="BG16" s="111" t="s">
        <v>1674</v>
      </c>
      <c r="BH16" s="111" t="s">
        <v>1674</v>
      </c>
      <c r="BI16" s="111" t="s">
        <v>1674</v>
      </c>
      <c r="BJ16" s="2"/>
    </row>
    <row r="17" spans="1:62" ht="41.45" customHeight="1">
      <c r="A17" s="62" t="s">
        <v>253</v>
      </c>
      <c r="C17" s="63"/>
      <c r="D17" s="63" t="s">
        <v>64</v>
      </c>
      <c r="E17" s="64">
        <v>545.1620545339126</v>
      </c>
      <c r="F17" s="66">
        <v>91.73339683910152</v>
      </c>
      <c r="G17" s="96" t="str">
        <f>HYPERLINK("https://i.ytimg.com/vi/edHXMHxVHj4/default.jpg")</f>
        <v>https://i.ytimg.com/vi/edHXMHxVHj4/default.jpg</v>
      </c>
      <c r="H17" s="63"/>
      <c r="I17" s="67" t="s">
        <v>1759</v>
      </c>
      <c r="J17" s="68"/>
      <c r="K17" s="68" t="s">
        <v>75</v>
      </c>
      <c r="L17" s="47" t="s">
        <v>1857</v>
      </c>
      <c r="M17" s="71">
        <v>148.58432278694684</v>
      </c>
      <c r="N17" s="72">
        <v>2590.671630859375</v>
      </c>
      <c r="O17" s="72">
        <v>6706.5751953125</v>
      </c>
      <c r="P17" s="73"/>
      <c r="Q17" s="74"/>
      <c r="R17" s="74"/>
      <c r="S17" s="82"/>
      <c r="T17" s="45">
        <v>13</v>
      </c>
      <c r="U17" s="45">
        <v>4</v>
      </c>
      <c r="V17" s="46">
        <v>252.602711</v>
      </c>
      <c r="W17" s="46">
        <v>0.506173</v>
      </c>
      <c r="X17" s="46">
        <v>0.154095</v>
      </c>
      <c r="Y17" s="46">
        <v>0.01318</v>
      </c>
      <c r="Z17" s="46">
        <v>0.22426470588235295</v>
      </c>
      <c r="AA17" s="46">
        <v>0</v>
      </c>
      <c r="AB17" s="69">
        <v>17</v>
      </c>
      <c r="AC17" s="69"/>
      <c r="AD17" s="70"/>
      <c r="AE17" s="77" t="s">
        <v>1759</v>
      </c>
      <c r="AF17" s="77" t="s">
        <v>1857</v>
      </c>
      <c r="AG17" s="77" t="s">
        <v>1950</v>
      </c>
      <c r="AH17" s="77" t="s">
        <v>2034</v>
      </c>
      <c r="AI17" s="77" t="s">
        <v>2102</v>
      </c>
      <c r="AJ17" s="77">
        <v>37368</v>
      </c>
      <c r="AK17" s="77">
        <v>89</v>
      </c>
      <c r="AL17" s="77">
        <v>503</v>
      </c>
      <c r="AM17" s="77">
        <v>0</v>
      </c>
      <c r="AN17" s="77" t="s">
        <v>2181</v>
      </c>
      <c r="AO17" s="98" t="str">
        <f>HYPERLINK("https://www.youtube.com/watch?v=edHXMHxVHj4")</f>
        <v>https://www.youtube.com/watch?v=edHXMHxVHj4</v>
      </c>
      <c r="AP17" s="77" t="str">
        <f>REPLACE(INDEX(GroupVertices[Group],MATCH("~"&amp;Vertices[[#This Row],[Vertex]],GroupVertices[Vertex],0)),1,1,"")</f>
        <v>1</v>
      </c>
      <c r="AQ17" s="45">
        <v>1</v>
      </c>
      <c r="AR17" s="46">
        <v>2.5641025641025643</v>
      </c>
      <c r="AS17" s="45">
        <v>1</v>
      </c>
      <c r="AT17" s="46">
        <v>2.5641025641025643</v>
      </c>
      <c r="AU17" s="45">
        <v>0</v>
      </c>
      <c r="AV17" s="46">
        <v>0</v>
      </c>
      <c r="AW17" s="45">
        <v>28</v>
      </c>
      <c r="AX17" s="46">
        <v>71.7948717948718</v>
      </c>
      <c r="AY17" s="45">
        <v>39</v>
      </c>
      <c r="AZ17" s="45"/>
      <c r="BA17" s="45"/>
      <c r="BB17" s="45"/>
      <c r="BC17" s="45"/>
      <c r="BD17" s="45"/>
      <c r="BE17" s="45"/>
      <c r="BF17" s="111" t="s">
        <v>1674</v>
      </c>
      <c r="BG17" s="111" t="s">
        <v>1674</v>
      </c>
      <c r="BH17" s="111" t="s">
        <v>1674</v>
      </c>
      <c r="BI17" s="111" t="s">
        <v>1674</v>
      </c>
      <c r="BJ17" s="2"/>
    </row>
    <row r="18" spans="1:62" ht="41.45" customHeight="1">
      <c r="A18" s="62" t="s">
        <v>294</v>
      </c>
      <c r="C18" s="63"/>
      <c r="D18" s="63" t="s">
        <v>64</v>
      </c>
      <c r="E18" s="64">
        <v>658.1700033259094</v>
      </c>
      <c r="F18" s="66">
        <v>91.83470310448492</v>
      </c>
      <c r="G18" s="96" t="str">
        <f>HYPERLINK("https://i.ytimg.com/vi/tcHGpw7KKE4/default.jpg")</f>
        <v>https://i.ytimg.com/vi/tcHGpw7KKE4/default.jpg</v>
      </c>
      <c r="H18" s="63"/>
      <c r="I18" s="67" t="s">
        <v>1750</v>
      </c>
      <c r="J18" s="68"/>
      <c r="K18" s="68" t="s">
        <v>75</v>
      </c>
      <c r="L18" s="47" t="s">
        <v>1848</v>
      </c>
      <c r="M18" s="71">
        <v>422.9913353801859</v>
      </c>
      <c r="N18" s="72">
        <v>2318.904541015625</v>
      </c>
      <c r="O18" s="72">
        <v>3928.509765625</v>
      </c>
      <c r="P18" s="73"/>
      <c r="Q18" s="74"/>
      <c r="R18" s="74"/>
      <c r="S18" s="82"/>
      <c r="T18" s="45">
        <v>24</v>
      </c>
      <c r="U18" s="45">
        <v>0</v>
      </c>
      <c r="V18" s="46">
        <v>249.507094</v>
      </c>
      <c r="W18" s="46">
        <v>0.539474</v>
      </c>
      <c r="X18" s="46">
        <v>0.200675</v>
      </c>
      <c r="Y18" s="46">
        <v>0.013402</v>
      </c>
      <c r="Z18" s="46">
        <v>0.18659420289855072</v>
      </c>
      <c r="AA18" s="46">
        <v>0</v>
      </c>
      <c r="AB18" s="69">
        <v>18</v>
      </c>
      <c r="AC18" s="69"/>
      <c r="AD18" s="70"/>
      <c r="AE18" s="77" t="s">
        <v>1750</v>
      </c>
      <c r="AF18" s="77" t="s">
        <v>1848</v>
      </c>
      <c r="AG18" s="77" t="s">
        <v>1941</v>
      </c>
      <c r="AH18" s="77" t="s">
        <v>2027</v>
      </c>
      <c r="AI18" s="77" t="s">
        <v>2093</v>
      </c>
      <c r="AJ18" s="77">
        <v>106308</v>
      </c>
      <c r="AK18" s="77">
        <v>234</v>
      </c>
      <c r="AL18" s="77">
        <v>3887</v>
      </c>
      <c r="AM18" s="77">
        <v>0</v>
      </c>
      <c r="AN18" s="77" t="s">
        <v>2181</v>
      </c>
      <c r="AO18" s="98" t="str">
        <f>HYPERLINK("https://www.youtube.com/watch?v=tcHGpw7KKE4")</f>
        <v>https://www.youtube.com/watch?v=tcHGpw7KKE4</v>
      </c>
      <c r="AP18" s="77" t="str">
        <f>REPLACE(INDEX(GroupVertices[Group],MATCH("~"&amp;Vertices[[#This Row],[Vertex]],GroupVertices[Vertex],0)),1,1,"")</f>
        <v>2</v>
      </c>
      <c r="AQ18" s="45">
        <v>9</v>
      </c>
      <c r="AR18" s="46">
        <v>3.673469387755102</v>
      </c>
      <c r="AS18" s="45">
        <v>0</v>
      </c>
      <c r="AT18" s="46">
        <v>0</v>
      </c>
      <c r="AU18" s="45">
        <v>0</v>
      </c>
      <c r="AV18" s="46">
        <v>0</v>
      </c>
      <c r="AW18" s="45">
        <v>176</v>
      </c>
      <c r="AX18" s="46">
        <v>71.83673469387755</v>
      </c>
      <c r="AY18" s="45">
        <v>245</v>
      </c>
      <c r="AZ18" s="45"/>
      <c r="BA18" s="45"/>
      <c r="BB18" s="45"/>
      <c r="BC18" s="45"/>
      <c r="BD18" s="45"/>
      <c r="BE18" s="45"/>
      <c r="BF18" s="45"/>
      <c r="BG18" s="45"/>
      <c r="BH18" s="45"/>
      <c r="BI18" s="45"/>
      <c r="BJ18" s="2"/>
    </row>
    <row r="19" spans="1:62" ht="41.45" customHeight="1">
      <c r="A19" s="62" t="s">
        <v>254</v>
      </c>
      <c r="C19" s="63"/>
      <c r="D19" s="63" t="s">
        <v>64</v>
      </c>
      <c r="E19" s="64">
        <v>575.1753974612501</v>
      </c>
      <c r="F19" s="66">
        <v>92.24510684605727</v>
      </c>
      <c r="G19" s="96" t="str">
        <f>HYPERLINK("https://i.ytimg.com/vi/uRLOYhznCSk/default.jpg")</f>
        <v>https://i.ytimg.com/vi/uRLOYhznCSk/default.jpg</v>
      </c>
      <c r="H19" s="63"/>
      <c r="I19" s="67" t="s">
        <v>1778</v>
      </c>
      <c r="J19" s="68"/>
      <c r="K19" s="68" t="s">
        <v>75</v>
      </c>
      <c r="L19" s="47" t="s">
        <v>1874</v>
      </c>
      <c r="M19" s="71">
        <v>196.18960086375478</v>
      </c>
      <c r="N19" s="72">
        <v>1326.6561279296875</v>
      </c>
      <c r="O19" s="72">
        <v>2703.595458984375</v>
      </c>
      <c r="P19" s="73"/>
      <c r="Q19" s="74"/>
      <c r="R19" s="74"/>
      <c r="S19" s="82"/>
      <c r="T19" s="45">
        <v>11</v>
      </c>
      <c r="U19" s="45">
        <v>14</v>
      </c>
      <c r="V19" s="46">
        <v>236.966381</v>
      </c>
      <c r="W19" s="46">
        <v>0.525641</v>
      </c>
      <c r="X19" s="46">
        <v>0.199294</v>
      </c>
      <c r="Y19" s="46">
        <v>0.013427</v>
      </c>
      <c r="Z19" s="46">
        <v>0.18333333333333332</v>
      </c>
      <c r="AA19" s="46">
        <v>0</v>
      </c>
      <c r="AB19" s="69">
        <v>19</v>
      </c>
      <c r="AC19" s="69"/>
      <c r="AD19" s="70"/>
      <c r="AE19" s="77" t="s">
        <v>1778</v>
      </c>
      <c r="AF19" s="77" t="s">
        <v>1874</v>
      </c>
      <c r="AG19" s="77" t="s">
        <v>1962</v>
      </c>
      <c r="AH19" s="77" t="s">
        <v>2039</v>
      </c>
      <c r="AI19" s="77" t="s">
        <v>2121</v>
      </c>
      <c r="AJ19" s="77">
        <v>49328</v>
      </c>
      <c r="AK19" s="77">
        <v>109</v>
      </c>
      <c r="AL19" s="77">
        <v>740</v>
      </c>
      <c r="AM19" s="77">
        <v>0</v>
      </c>
      <c r="AN19" s="77" t="s">
        <v>2181</v>
      </c>
      <c r="AO19" s="98" t="str">
        <f>HYPERLINK("https://www.youtube.com/watch?v=uRLOYhznCSk")</f>
        <v>https://www.youtube.com/watch?v=uRLOYhznCSk</v>
      </c>
      <c r="AP19" s="77" t="str">
        <f>REPLACE(INDEX(GroupVertices[Group],MATCH("~"&amp;Vertices[[#This Row],[Vertex]],GroupVertices[Vertex],0)),1,1,"")</f>
        <v>2</v>
      </c>
      <c r="AQ19" s="45">
        <v>0</v>
      </c>
      <c r="AR19" s="46">
        <v>0</v>
      </c>
      <c r="AS19" s="45">
        <v>1</v>
      </c>
      <c r="AT19" s="46">
        <v>1.9607843137254901</v>
      </c>
      <c r="AU19" s="45">
        <v>0</v>
      </c>
      <c r="AV19" s="46">
        <v>0</v>
      </c>
      <c r="AW19" s="45">
        <v>34</v>
      </c>
      <c r="AX19" s="46">
        <v>66.66666666666667</v>
      </c>
      <c r="AY19" s="45">
        <v>51</v>
      </c>
      <c r="AZ19" s="45"/>
      <c r="BA19" s="45"/>
      <c r="BB19" s="45"/>
      <c r="BC19" s="45"/>
      <c r="BD19" s="45"/>
      <c r="BE19" s="45"/>
      <c r="BF19" s="111" t="s">
        <v>1674</v>
      </c>
      <c r="BG19" s="111" t="s">
        <v>1674</v>
      </c>
      <c r="BH19" s="111" t="s">
        <v>1674</v>
      </c>
      <c r="BI19" s="111" t="s">
        <v>1674</v>
      </c>
      <c r="BJ19" s="2"/>
    </row>
    <row r="20" spans="1:62" ht="41.45" customHeight="1">
      <c r="A20" s="62" t="s">
        <v>267</v>
      </c>
      <c r="C20" s="63"/>
      <c r="D20" s="63" t="s">
        <v>64</v>
      </c>
      <c r="E20" s="64">
        <v>592.0297646662872</v>
      </c>
      <c r="F20" s="66">
        <v>92.75345736248846</v>
      </c>
      <c r="G20" s="96" t="str">
        <f>HYPERLINK("https://i.ytimg.com/vi/iqpABS2UMRc/default.jpg")</f>
        <v>https://i.ytimg.com/vi/iqpABS2UMRc/default.jpg</v>
      </c>
      <c r="H20" s="63"/>
      <c r="I20" s="67" t="s">
        <v>1795</v>
      </c>
      <c r="J20" s="68"/>
      <c r="K20" s="68" t="s">
        <v>75</v>
      </c>
      <c r="L20" s="47" t="s">
        <v>1891</v>
      </c>
      <c r="M20" s="71">
        <v>229.3222375453057</v>
      </c>
      <c r="N20" s="72">
        <v>556.6273193359375</v>
      </c>
      <c r="O20" s="72">
        <v>7671.5048828125</v>
      </c>
      <c r="P20" s="73"/>
      <c r="Q20" s="74"/>
      <c r="R20" s="74"/>
      <c r="S20" s="82"/>
      <c r="T20" s="45">
        <v>5</v>
      </c>
      <c r="U20" s="45">
        <v>16</v>
      </c>
      <c r="V20" s="46">
        <v>221.432707</v>
      </c>
      <c r="W20" s="46">
        <v>0.509317</v>
      </c>
      <c r="X20" s="46">
        <v>0.1777</v>
      </c>
      <c r="Y20" s="46">
        <v>0.013524</v>
      </c>
      <c r="Z20" s="46">
        <v>0.19285714285714287</v>
      </c>
      <c r="AA20" s="46">
        <v>0</v>
      </c>
      <c r="AB20" s="69">
        <v>20</v>
      </c>
      <c r="AC20" s="69"/>
      <c r="AD20" s="70"/>
      <c r="AE20" s="77" t="s">
        <v>1795</v>
      </c>
      <c r="AF20" s="77" t="s">
        <v>1891</v>
      </c>
      <c r="AG20" s="77" t="s">
        <v>1966</v>
      </c>
      <c r="AH20" s="77" t="s">
        <v>2046</v>
      </c>
      <c r="AI20" s="77" t="s">
        <v>2138</v>
      </c>
      <c r="AJ20" s="77">
        <v>57652</v>
      </c>
      <c r="AK20" s="77">
        <v>63</v>
      </c>
      <c r="AL20" s="77">
        <v>1175</v>
      </c>
      <c r="AM20" s="77">
        <v>0</v>
      </c>
      <c r="AN20" s="77" t="s">
        <v>2181</v>
      </c>
      <c r="AO20" s="98" t="str">
        <f>HYPERLINK("https://www.youtube.com/watch?v=iqpABS2UMRc")</f>
        <v>https://www.youtube.com/watch?v=iqpABS2UMRc</v>
      </c>
      <c r="AP20" s="77" t="str">
        <f>REPLACE(INDEX(GroupVertices[Group],MATCH("~"&amp;Vertices[[#This Row],[Vertex]],GroupVertices[Vertex],0)),1,1,"")</f>
        <v>1</v>
      </c>
      <c r="AQ20" s="45">
        <v>2</v>
      </c>
      <c r="AR20" s="46">
        <v>3.389830508474576</v>
      </c>
      <c r="AS20" s="45">
        <v>1</v>
      </c>
      <c r="AT20" s="46">
        <v>1.694915254237288</v>
      </c>
      <c r="AU20" s="45">
        <v>0</v>
      </c>
      <c r="AV20" s="46">
        <v>0</v>
      </c>
      <c r="AW20" s="45">
        <v>32</v>
      </c>
      <c r="AX20" s="46">
        <v>54.23728813559322</v>
      </c>
      <c r="AY20" s="45">
        <v>59</v>
      </c>
      <c r="AZ20" s="45" t="s">
        <v>3578</v>
      </c>
      <c r="BA20" s="45" t="s">
        <v>3585</v>
      </c>
      <c r="BB20" s="45" t="s">
        <v>1670</v>
      </c>
      <c r="BC20" s="45" t="s">
        <v>1670</v>
      </c>
      <c r="BD20" s="45"/>
      <c r="BE20" s="45"/>
      <c r="BF20" s="111" t="s">
        <v>1674</v>
      </c>
      <c r="BG20" s="111" t="s">
        <v>1674</v>
      </c>
      <c r="BH20" s="111" t="s">
        <v>1674</v>
      </c>
      <c r="BI20" s="111" t="s">
        <v>1674</v>
      </c>
      <c r="BJ20" s="2"/>
    </row>
    <row r="21" spans="1:62" ht="41.45" customHeight="1">
      <c r="A21" s="62" t="s">
        <v>241</v>
      </c>
      <c r="C21" s="63"/>
      <c r="D21" s="63" t="s">
        <v>64</v>
      </c>
      <c r="E21" s="64">
        <v>543.4624299527965</v>
      </c>
      <c r="F21" s="66">
        <v>93.09082409271903</v>
      </c>
      <c r="G21" s="96" t="str">
        <f>HYPERLINK("https://i.ytimg.com/vi/PMW01KBO_R8/default.jpg")</f>
        <v>https://i.ytimg.com/vi/PMW01KBO_R8/default.jpg</v>
      </c>
      <c r="H21" s="63"/>
      <c r="I21" s="67" t="s">
        <v>1752</v>
      </c>
      <c r="J21" s="68"/>
      <c r="K21" s="68" t="s">
        <v>75</v>
      </c>
      <c r="L21" s="47" t="s">
        <v>1850</v>
      </c>
      <c r="M21" s="71">
        <v>146.26376449942353</v>
      </c>
      <c r="N21" s="72">
        <v>2481.450439453125</v>
      </c>
      <c r="O21" s="72">
        <v>2714.6240234375</v>
      </c>
      <c r="P21" s="73"/>
      <c r="Q21" s="74"/>
      <c r="R21" s="74"/>
      <c r="S21" s="82"/>
      <c r="T21" s="45">
        <v>10</v>
      </c>
      <c r="U21" s="45">
        <v>7</v>
      </c>
      <c r="V21" s="46">
        <v>211.123787</v>
      </c>
      <c r="W21" s="46">
        <v>0.493976</v>
      </c>
      <c r="X21" s="46">
        <v>0.114976</v>
      </c>
      <c r="Y21" s="46">
        <v>0.013155</v>
      </c>
      <c r="Z21" s="46">
        <v>0.16544117647058823</v>
      </c>
      <c r="AA21" s="46">
        <v>0</v>
      </c>
      <c r="AB21" s="69">
        <v>21</v>
      </c>
      <c r="AC21" s="69"/>
      <c r="AD21" s="70"/>
      <c r="AE21" s="77" t="s">
        <v>1752</v>
      </c>
      <c r="AF21" s="77" t="s">
        <v>1850</v>
      </c>
      <c r="AG21" s="77" t="s">
        <v>1943</v>
      </c>
      <c r="AH21" s="77" t="s">
        <v>2027</v>
      </c>
      <c r="AI21" s="77" t="s">
        <v>2095</v>
      </c>
      <c r="AJ21" s="77">
        <v>36785</v>
      </c>
      <c r="AK21" s="77">
        <v>141</v>
      </c>
      <c r="AL21" s="77">
        <v>915</v>
      </c>
      <c r="AM21" s="77">
        <v>0</v>
      </c>
      <c r="AN21" s="77" t="s">
        <v>2181</v>
      </c>
      <c r="AO21" s="98" t="str">
        <f>HYPERLINK("https://www.youtube.com/watch?v=PMW01KBO_R8")</f>
        <v>https://www.youtube.com/watch?v=PMW01KBO_R8</v>
      </c>
      <c r="AP21" s="77" t="str">
        <f>REPLACE(INDEX(GroupVertices[Group],MATCH("~"&amp;Vertices[[#This Row],[Vertex]],GroupVertices[Vertex],0)),1,1,"")</f>
        <v>2</v>
      </c>
      <c r="AQ21" s="45">
        <v>6</v>
      </c>
      <c r="AR21" s="46">
        <v>3.0150753768844223</v>
      </c>
      <c r="AS21" s="45">
        <v>0</v>
      </c>
      <c r="AT21" s="46">
        <v>0</v>
      </c>
      <c r="AU21" s="45">
        <v>0</v>
      </c>
      <c r="AV21" s="46">
        <v>0</v>
      </c>
      <c r="AW21" s="45">
        <v>147</v>
      </c>
      <c r="AX21" s="46">
        <v>73.86934673366834</v>
      </c>
      <c r="AY21" s="45">
        <v>199</v>
      </c>
      <c r="AZ21" s="45" t="s">
        <v>3443</v>
      </c>
      <c r="BA21" s="45" t="s">
        <v>3443</v>
      </c>
      <c r="BB21" s="45" t="s">
        <v>1670</v>
      </c>
      <c r="BC21" s="45" t="s">
        <v>1670</v>
      </c>
      <c r="BD21" s="45"/>
      <c r="BE21" s="45"/>
      <c r="BF21" s="111" t="s">
        <v>1674</v>
      </c>
      <c r="BG21" s="111" t="s">
        <v>1674</v>
      </c>
      <c r="BH21" s="111" t="s">
        <v>1674</v>
      </c>
      <c r="BI21" s="111" t="s">
        <v>1674</v>
      </c>
      <c r="BJ21" s="2"/>
    </row>
    <row r="22" spans="1:62" ht="41.45" customHeight="1">
      <c r="A22" s="62" t="s">
        <v>256</v>
      </c>
      <c r="C22" s="63"/>
      <c r="D22" s="63" t="s">
        <v>64</v>
      </c>
      <c r="E22" s="64">
        <v>570.8682800996996</v>
      </c>
      <c r="F22" s="66">
        <v>93.7810090300609</v>
      </c>
      <c r="G22" s="96" t="str">
        <f>HYPERLINK("https://i.ytimg.com/vi/m_JDXNU8tD8/default.jpg")</f>
        <v>https://i.ytimg.com/vi/m_JDXNU8tD8/default.jpg</v>
      </c>
      <c r="H22" s="63"/>
      <c r="I22" s="67" t="s">
        <v>1780</v>
      </c>
      <c r="J22" s="68"/>
      <c r="K22" s="68" t="s">
        <v>75</v>
      </c>
      <c r="L22" s="47" t="s">
        <v>1876</v>
      </c>
      <c r="M22" s="71">
        <v>188.51941935422226</v>
      </c>
      <c r="N22" s="72">
        <v>1595.855712890625</v>
      </c>
      <c r="O22" s="72">
        <v>6610.6474609375</v>
      </c>
      <c r="P22" s="73"/>
      <c r="Q22" s="74"/>
      <c r="R22" s="74"/>
      <c r="S22" s="82"/>
      <c r="T22" s="45">
        <v>14</v>
      </c>
      <c r="U22" s="45">
        <v>11</v>
      </c>
      <c r="V22" s="46">
        <v>190.033796</v>
      </c>
      <c r="W22" s="46">
        <v>0.543046</v>
      </c>
      <c r="X22" s="46">
        <v>0.222422</v>
      </c>
      <c r="Y22" s="46">
        <v>0.01322</v>
      </c>
      <c r="Z22" s="46">
        <v>0.20666666666666667</v>
      </c>
      <c r="AA22" s="46">
        <v>0</v>
      </c>
      <c r="AB22" s="69">
        <v>22</v>
      </c>
      <c r="AC22" s="69"/>
      <c r="AD22" s="70"/>
      <c r="AE22" s="77" t="s">
        <v>1780</v>
      </c>
      <c r="AF22" s="77" t="s">
        <v>1876</v>
      </c>
      <c r="AG22" s="77" t="s">
        <v>1962</v>
      </c>
      <c r="AH22" s="77" t="s">
        <v>2039</v>
      </c>
      <c r="AI22" s="77" t="s">
        <v>2123</v>
      </c>
      <c r="AJ22" s="77">
        <v>47401</v>
      </c>
      <c r="AK22" s="77">
        <v>76</v>
      </c>
      <c r="AL22" s="77">
        <v>637</v>
      </c>
      <c r="AM22" s="77">
        <v>0</v>
      </c>
      <c r="AN22" s="77" t="s">
        <v>2181</v>
      </c>
      <c r="AO22" s="98" t="str">
        <f>HYPERLINK("https://www.youtube.com/watch?v=m_JDXNU8tD8")</f>
        <v>https://www.youtube.com/watch?v=m_JDXNU8tD8</v>
      </c>
      <c r="AP22" s="77" t="str">
        <f>REPLACE(INDEX(GroupVertices[Group],MATCH("~"&amp;Vertices[[#This Row],[Vertex]],GroupVertices[Vertex],0)),1,1,"")</f>
        <v>1</v>
      </c>
      <c r="AQ22" s="45">
        <v>2</v>
      </c>
      <c r="AR22" s="46">
        <v>3.125</v>
      </c>
      <c r="AS22" s="45">
        <v>1</v>
      </c>
      <c r="AT22" s="46">
        <v>1.5625</v>
      </c>
      <c r="AU22" s="45">
        <v>0</v>
      </c>
      <c r="AV22" s="46">
        <v>0</v>
      </c>
      <c r="AW22" s="45">
        <v>38</v>
      </c>
      <c r="AX22" s="46">
        <v>59.375</v>
      </c>
      <c r="AY22" s="45">
        <v>64</v>
      </c>
      <c r="AZ22" s="45"/>
      <c r="BA22" s="45"/>
      <c r="BB22" s="45"/>
      <c r="BC22" s="45"/>
      <c r="BD22" s="45"/>
      <c r="BE22" s="45"/>
      <c r="BF22" s="111" t="s">
        <v>1674</v>
      </c>
      <c r="BG22" s="111" t="s">
        <v>1674</v>
      </c>
      <c r="BH22" s="111" t="s">
        <v>1674</v>
      </c>
      <c r="BI22" s="111" t="s">
        <v>1674</v>
      </c>
      <c r="BJ22" s="2"/>
    </row>
    <row r="23" spans="1:62" ht="41.45" customHeight="1">
      <c r="A23" s="62" t="s">
        <v>288</v>
      </c>
      <c r="C23" s="63"/>
      <c r="D23" s="63" t="s">
        <v>64</v>
      </c>
      <c r="E23" s="64">
        <v>491.6805038447353</v>
      </c>
      <c r="F23" s="66">
        <v>94.32476830696119</v>
      </c>
      <c r="G23" s="96" t="str">
        <f>HYPERLINK("https://i.ytimg.com/vi/q2yJEc5KWVA/default.jpg")</f>
        <v>https://i.ytimg.com/vi/q2yJEc5KWVA/default.jpg</v>
      </c>
      <c r="H23" s="63"/>
      <c r="I23" s="67" t="s">
        <v>1818</v>
      </c>
      <c r="J23" s="68"/>
      <c r="K23" s="68" t="s">
        <v>75</v>
      </c>
      <c r="L23" s="47" t="s">
        <v>1914</v>
      </c>
      <c r="M23" s="71">
        <v>90.53056185465223</v>
      </c>
      <c r="N23" s="72">
        <v>5273.93115234375</v>
      </c>
      <c r="O23" s="72">
        <v>8827.486328125</v>
      </c>
      <c r="P23" s="73"/>
      <c r="Q23" s="74"/>
      <c r="R23" s="74"/>
      <c r="S23" s="82"/>
      <c r="T23" s="45">
        <v>0</v>
      </c>
      <c r="U23" s="45">
        <v>7</v>
      </c>
      <c r="V23" s="46">
        <v>173.418136</v>
      </c>
      <c r="W23" s="46">
        <v>0.438503</v>
      </c>
      <c r="X23" s="46">
        <v>0.057672</v>
      </c>
      <c r="Y23" s="46">
        <v>0.012503</v>
      </c>
      <c r="Z23" s="46">
        <v>0.16666666666666666</v>
      </c>
      <c r="AA23" s="46">
        <v>0</v>
      </c>
      <c r="AB23" s="69">
        <v>23</v>
      </c>
      <c r="AC23" s="69"/>
      <c r="AD23" s="70"/>
      <c r="AE23" s="77" t="s">
        <v>1818</v>
      </c>
      <c r="AF23" s="77" t="s">
        <v>1914</v>
      </c>
      <c r="AG23" s="77" t="s">
        <v>2000</v>
      </c>
      <c r="AH23" s="77" t="s">
        <v>2062</v>
      </c>
      <c r="AI23" s="77" t="s">
        <v>2161</v>
      </c>
      <c r="AJ23" s="77">
        <v>22783</v>
      </c>
      <c r="AK23" s="77">
        <v>37</v>
      </c>
      <c r="AL23" s="77">
        <v>844</v>
      </c>
      <c r="AM23" s="77">
        <v>0</v>
      </c>
      <c r="AN23" s="77" t="s">
        <v>2181</v>
      </c>
      <c r="AO23" s="98" t="str">
        <f>HYPERLINK("https://www.youtube.com/watch?v=q2yJEc5KWVA")</f>
        <v>https://www.youtube.com/watch?v=q2yJEc5KWVA</v>
      </c>
      <c r="AP23" s="77" t="str">
        <f>REPLACE(INDEX(GroupVertices[Group],MATCH("~"&amp;Vertices[[#This Row],[Vertex]],GroupVertices[Vertex],0)),1,1,"")</f>
        <v>3</v>
      </c>
      <c r="AQ23" s="45">
        <v>8</v>
      </c>
      <c r="AR23" s="46">
        <v>2.9411764705882355</v>
      </c>
      <c r="AS23" s="45">
        <v>0</v>
      </c>
      <c r="AT23" s="46">
        <v>0</v>
      </c>
      <c r="AU23" s="45">
        <v>0</v>
      </c>
      <c r="AV23" s="46">
        <v>0</v>
      </c>
      <c r="AW23" s="45">
        <v>170</v>
      </c>
      <c r="AX23" s="46">
        <v>62.5</v>
      </c>
      <c r="AY23" s="45">
        <v>272</v>
      </c>
      <c r="AZ23" s="45" t="s">
        <v>3580</v>
      </c>
      <c r="BA23" s="45" t="s">
        <v>3580</v>
      </c>
      <c r="BB23" s="45" t="s">
        <v>3589</v>
      </c>
      <c r="BC23" s="45" t="s">
        <v>3589</v>
      </c>
      <c r="BD23" s="45"/>
      <c r="BE23" s="45"/>
      <c r="BF23" s="111" t="s">
        <v>1674</v>
      </c>
      <c r="BG23" s="111" t="s">
        <v>1674</v>
      </c>
      <c r="BH23" s="111" t="s">
        <v>1674</v>
      </c>
      <c r="BI23" s="111" t="s">
        <v>1674</v>
      </c>
      <c r="BJ23" s="2"/>
    </row>
    <row r="24" spans="1:62" ht="41.45" customHeight="1">
      <c r="A24" s="62" t="s">
        <v>224</v>
      </c>
      <c r="C24" s="63"/>
      <c r="D24" s="63" t="s">
        <v>64</v>
      </c>
      <c r="E24" s="64">
        <v>362.91516328909574</v>
      </c>
      <c r="F24" s="66">
        <v>94.69843491875449</v>
      </c>
      <c r="G24" s="96" t="str">
        <f>HYPERLINK("https://i.ytimg.com/vi/rMXwAku-tJ8/default.jpg")</f>
        <v>https://i.ytimg.com/vi/rMXwAku-tJ8/default.jpg</v>
      </c>
      <c r="H24" s="63"/>
      <c r="I24" s="67" t="s">
        <v>1744</v>
      </c>
      <c r="J24" s="68"/>
      <c r="K24" s="68" t="s">
        <v>75</v>
      </c>
      <c r="L24" s="47" t="s">
        <v>1842</v>
      </c>
      <c r="M24" s="71">
        <v>27.3978431609858</v>
      </c>
      <c r="N24" s="72">
        <v>9552.037109375</v>
      </c>
      <c r="O24" s="72">
        <v>5452.48486328125</v>
      </c>
      <c r="P24" s="73"/>
      <c r="Q24" s="74"/>
      <c r="R24" s="74"/>
      <c r="S24" s="82"/>
      <c r="T24" s="45">
        <v>0</v>
      </c>
      <c r="U24" s="45">
        <v>2</v>
      </c>
      <c r="V24" s="46">
        <v>162</v>
      </c>
      <c r="W24" s="46">
        <v>0.243323</v>
      </c>
      <c r="X24" s="46">
        <v>0.00029</v>
      </c>
      <c r="Y24" s="46">
        <v>0.012773</v>
      </c>
      <c r="Z24" s="46">
        <v>0</v>
      </c>
      <c r="AA24" s="46">
        <v>0</v>
      </c>
      <c r="AB24" s="69">
        <v>24</v>
      </c>
      <c r="AC24" s="69"/>
      <c r="AD24" s="70"/>
      <c r="AE24" s="77" t="s">
        <v>1744</v>
      </c>
      <c r="AF24" s="77" t="s">
        <v>1842</v>
      </c>
      <c r="AG24" s="77" t="s">
        <v>1936</v>
      </c>
      <c r="AH24" s="77" t="s">
        <v>2022</v>
      </c>
      <c r="AI24" s="77" t="s">
        <v>2087</v>
      </c>
      <c r="AJ24" s="77">
        <v>6922</v>
      </c>
      <c r="AK24" s="77">
        <v>26</v>
      </c>
      <c r="AL24" s="77">
        <v>588</v>
      </c>
      <c r="AM24" s="77">
        <v>0</v>
      </c>
      <c r="AN24" s="77" t="s">
        <v>2181</v>
      </c>
      <c r="AO24" s="98" t="str">
        <f>HYPERLINK("https://www.youtube.com/watch?v=rMXwAku-tJ8")</f>
        <v>https://www.youtube.com/watch?v=rMXwAku-tJ8</v>
      </c>
      <c r="AP24" s="77" t="str">
        <f>REPLACE(INDEX(GroupVertices[Group],MATCH("~"&amp;Vertices[[#This Row],[Vertex]],GroupVertices[Vertex],0)),1,1,"")</f>
        <v>5</v>
      </c>
      <c r="AQ24" s="45">
        <v>0</v>
      </c>
      <c r="AR24" s="46">
        <v>0</v>
      </c>
      <c r="AS24" s="45">
        <v>2</v>
      </c>
      <c r="AT24" s="46">
        <v>1.7543859649122806</v>
      </c>
      <c r="AU24" s="45">
        <v>0</v>
      </c>
      <c r="AV24" s="46">
        <v>0</v>
      </c>
      <c r="AW24" s="45">
        <v>112</v>
      </c>
      <c r="AX24" s="46">
        <v>98.24561403508773</v>
      </c>
      <c r="AY24" s="45">
        <v>114</v>
      </c>
      <c r="AZ24" s="45"/>
      <c r="BA24" s="45"/>
      <c r="BB24" s="45"/>
      <c r="BC24" s="45"/>
      <c r="BD24" s="45"/>
      <c r="BE24" s="45"/>
      <c r="BF24" s="111" t="s">
        <v>1674</v>
      </c>
      <c r="BG24" s="111" t="s">
        <v>1674</v>
      </c>
      <c r="BH24" s="111" t="s">
        <v>1674</v>
      </c>
      <c r="BI24" s="111" t="s">
        <v>1674</v>
      </c>
      <c r="BJ24" s="2"/>
    </row>
    <row r="25" spans="1:62" ht="41.45" customHeight="1">
      <c r="A25" s="62" t="s">
        <v>233</v>
      </c>
      <c r="C25" s="63"/>
      <c r="D25" s="63" t="s">
        <v>64</v>
      </c>
      <c r="E25" s="64">
        <v>525.4450160747276</v>
      </c>
      <c r="F25" s="66">
        <v>94.69843491875449</v>
      </c>
      <c r="G25" s="96" t="str">
        <f>HYPERLINK("https://i.ytimg.com/vi/M6dBkL6pmvw/default.jpg")</f>
        <v>https://i.ytimg.com/vi/M6dBkL6pmvw/default.jpg</v>
      </c>
      <c r="H25" s="63"/>
      <c r="I25" s="67" t="s">
        <v>1764</v>
      </c>
      <c r="J25" s="68"/>
      <c r="K25" s="68" t="s">
        <v>75</v>
      </c>
      <c r="L25" s="47" t="s">
        <v>1860</v>
      </c>
      <c r="M25" s="71">
        <v>123.7826097688373</v>
      </c>
      <c r="N25" s="72">
        <v>3428.060546875</v>
      </c>
      <c r="O25" s="72">
        <v>6601.45947265625</v>
      </c>
      <c r="P25" s="73"/>
      <c r="Q25" s="74"/>
      <c r="R25" s="74"/>
      <c r="S25" s="82"/>
      <c r="T25" s="45">
        <v>1</v>
      </c>
      <c r="U25" s="45">
        <v>2</v>
      </c>
      <c r="V25" s="46">
        <v>162</v>
      </c>
      <c r="W25" s="46">
        <v>0.359649</v>
      </c>
      <c r="X25" s="46">
        <v>0.018632</v>
      </c>
      <c r="Y25" s="46">
        <v>0.012085</v>
      </c>
      <c r="Z25" s="46">
        <v>0.16666666666666666</v>
      </c>
      <c r="AA25" s="46">
        <v>0</v>
      </c>
      <c r="AB25" s="69">
        <v>25</v>
      </c>
      <c r="AC25" s="69"/>
      <c r="AD25" s="70"/>
      <c r="AE25" s="77" t="s">
        <v>1764</v>
      </c>
      <c r="AF25" s="77" t="s">
        <v>1860</v>
      </c>
      <c r="AG25" s="77" t="s">
        <v>1953</v>
      </c>
      <c r="AH25" s="77" t="s">
        <v>2038</v>
      </c>
      <c r="AI25" s="77" t="s">
        <v>2107</v>
      </c>
      <c r="AJ25" s="77">
        <v>31137</v>
      </c>
      <c r="AK25" s="77">
        <v>75</v>
      </c>
      <c r="AL25" s="77">
        <v>612</v>
      </c>
      <c r="AM25" s="77">
        <v>0</v>
      </c>
      <c r="AN25" s="77" t="s">
        <v>2181</v>
      </c>
      <c r="AO25" s="98" t="str">
        <f>HYPERLINK("https://www.youtube.com/watch?v=M6dBkL6pmvw")</f>
        <v>https://www.youtube.com/watch?v=M6dBkL6pmvw</v>
      </c>
      <c r="AP25" s="77" t="str">
        <f>REPLACE(INDEX(GroupVertices[Group],MATCH("~"&amp;Vertices[[#This Row],[Vertex]],GroupVertices[Vertex],0)),1,1,"")</f>
        <v>1</v>
      </c>
      <c r="AQ25" s="45">
        <v>0</v>
      </c>
      <c r="AR25" s="46">
        <v>0</v>
      </c>
      <c r="AS25" s="45">
        <v>0</v>
      </c>
      <c r="AT25" s="46">
        <v>0</v>
      </c>
      <c r="AU25" s="45">
        <v>0</v>
      </c>
      <c r="AV25" s="46">
        <v>0</v>
      </c>
      <c r="AW25" s="45">
        <v>142</v>
      </c>
      <c r="AX25" s="46">
        <v>100</v>
      </c>
      <c r="AY25" s="45">
        <v>142</v>
      </c>
      <c r="AZ25" s="45"/>
      <c r="BA25" s="45"/>
      <c r="BB25" s="45"/>
      <c r="BC25" s="45"/>
      <c r="BD25" s="45"/>
      <c r="BE25" s="45"/>
      <c r="BF25" s="111" t="s">
        <v>1674</v>
      </c>
      <c r="BG25" s="111" t="s">
        <v>1674</v>
      </c>
      <c r="BH25" s="111" t="s">
        <v>1674</v>
      </c>
      <c r="BI25" s="111" t="s">
        <v>1674</v>
      </c>
      <c r="BJ25" s="2"/>
    </row>
    <row r="26" spans="1:62" ht="41.45" customHeight="1">
      <c r="A26" s="62" t="s">
        <v>284</v>
      </c>
      <c r="C26" s="63"/>
      <c r="D26" s="63" t="s">
        <v>64</v>
      </c>
      <c r="E26" s="64">
        <v>689.6172367049978</v>
      </c>
      <c r="F26" s="66">
        <v>94.96821474472392</v>
      </c>
      <c r="G26" s="96" t="str">
        <f>HYPERLINK("https://i.ytimg.com/vi/ti7x9nmCmsk/default.jpg")</f>
        <v>https://i.ytimg.com/vi/ti7x9nmCmsk/default.jpg</v>
      </c>
      <c r="H26" s="63"/>
      <c r="I26" s="67" t="s">
        <v>1814</v>
      </c>
      <c r="J26" s="68"/>
      <c r="K26" s="68" t="s">
        <v>75</v>
      </c>
      <c r="L26" s="47" t="s">
        <v>1910</v>
      </c>
      <c r="M26" s="71">
        <v>565.8827967246112</v>
      </c>
      <c r="N26" s="72">
        <v>428.279541015625</v>
      </c>
      <c r="O26" s="72">
        <v>7205.78564453125</v>
      </c>
      <c r="P26" s="73"/>
      <c r="Q26" s="74"/>
      <c r="R26" s="74"/>
      <c r="S26" s="82"/>
      <c r="T26" s="45">
        <v>1</v>
      </c>
      <c r="U26" s="45">
        <v>17</v>
      </c>
      <c r="V26" s="46">
        <v>153.756334</v>
      </c>
      <c r="W26" s="46">
        <v>0.488095</v>
      </c>
      <c r="X26" s="46">
        <v>0.14525</v>
      </c>
      <c r="Y26" s="46">
        <v>0.012939</v>
      </c>
      <c r="Z26" s="46">
        <v>0.20261437908496732</v>
      </c>
      <c r="AA26" s="46">
        <v>0</v>
      </c>
      <c r="AB26" s="69">
        <v>26</v>
      </c>
      <c r="AC26" s="69"/>
      <c r="AD26" s="70"/>
      <c r="AE26" s="77" t="s">
        <v>1814</v>
      </c>
      <c r="AF26" s="77" t="s">
        <v>1910</v>
      </c>
      <c r="AG26" s="77" t="s">
        <v>1997</v>
      </c>
      <c r="AH26" s="77" t="s">
        <v>2064</v>
      </c>
      <c r="AI26" s="77" t="s">
        <v>2157</v>
      </c>
      <c r="AJ26" s="77">
        <v>142207</v>
      </c>
      <c r="AK26" s="77">
        <v>95</v>
      </c>
      <c r="AL26" s="77">
        <v>2189</v>
      </c>
      <c r="AM26" s="77">
        <v>0</v>
      </c>
      <c r="AN26" s="77" t="s">
        <v>2181</v>
      </c>
      <c r="AO26" s="98" t="str">
        <f>HYPERLINK("https://www.youtube.com/watch?v=ti7x9nmCmsk")</f>
        <v>https://www.youtube.com/watch?v=ti7x9nmCmsk</v>
      </c>
      <c r="AP26" s="77" t="str">
        <f>REPLACE(INDEX(GroupVertices[Group],MATCH("~"&amp;Vertices[[#This Row],[Vertex]],GroupVertices[Vertex],0)),1,1,"")</f>
        <v>1</v>
      </c>
      <c r="AQ26" s="45">
        <v>0</v>
      </c>
      <c r="AR26" s="46">
        <v>0</v>
      </c>
      <c r="AS26" s="45">
        <v>1</v>
      </c>
      <c r="AT26" s="46">
        <v>1.8181818181818181</v>
      </c>
      <c r="AU26" s="45">
        <v>0</v>
      </c>
      <c r="AV26" s="46">
        <v>0</v>
      </c>
      <c r="AW26" s="45">
        <v>47</v>
      </c>
      <c r="AX26" s="46">
        <v>85.45454545454545</v>
      </c>
      <c r="AY26" s="45">
        <v>55</v>
      </c>
      <c r="AZ26" s="45"/>
      <c r="BA26" s="45"/>
      <c r="BB26" s="45"/>
      <c r="BC26" s="45"/>
      <c r="BD26" s="45"/>
      <c r="BE26" s="45"/>
      <c r="BF26" s="111" t="s">
        <v>1674</v>
      </c>
      <c r="BG26" s="111" t="s">
        <v>1674</v>
      </c>
      <c r="BH26" s="111" t="s">
        <v>1674</v>
      </c>
      <c r="BI26" s="111" t="s">
        <v>1674</v>
      </c>
      <c r="BJ26" s="2"/>
    </row>
    <row r="27" spans="1:62" ht="41.45" customHeight="1">
      <c r="A27" s="62" t="s">
        <v>251</v>
      </c>
      <c r="C27" s="63"/>
      <c r="D27" s="63" t="s">
        <v>64</v>
      </c>
      <c r="E27" s="64">
        <v>555.235377738009</v>
      </c>
      <c r="F27" s="66">
        <v>95.18571321937038</v>
      </c>
      <c r="G27" s="96" t="str">
        <f>HYPERLINK("https://i.ytimg.com/vi/OHPpCpOGbt8/default.jpg")</f>
        <v>https://i.ytimg.com/vi/OHPpCpOGbt8/default.jpg</v>
      </c>
      <c r="H27" s="63"/>
      <c r="I27" s="67" t="s">
        <v>1776</v>
      </c>
      <c r="J27" s="68"/>
      <c r="K27" s="68" t="s">
        <v>75</v>
      </c>
      <c r="L27" s="47" t="s">
        <v>1872</v>
      </c>
      <c r="M27" s="71">
        <v>163.11268942409978</v>
      </c>
      <c r="N27" s="72">
        <v>6114.52685546875</v>
      </c>
      <c r="O27" s="72">
        <v>7395.22509765625</v>
      </c>
      <c r="P27" s="73"/>
      <c r="Q27" s="74"/>
      <c r="R27" s="74"/>
      <c r="S27" s="82"/>
      <c r="T27" s="45">
        <v>13</v>
      </c>
      <c r="U27" s="45">
        <v>3</v>
      </c>
      <c r="V27" s="46">
        <v>147.11023</v>
      </c>
      <c r="W27" s="46">
        <v>0.485207</v>
      </c>
      <c r="X27" s="46">
        <v>0.117156</v>
      </c>
      <c r="Y27" s="46">
        <v>0.012516</v>
      </c>
      <c r="Z27" s="46">
        <v>0.15833333333333333</v>
      </c>
      <c r="AA27" s="46">
        <v>0</v>
      </c>
      <c r="AB27" s="69">
        <v>27</v>
      </c>
      <c r="AC27" s="69"/>
      <c r="AD27" s="70"/>
      <c r="AE27" s="77" t="s">
        <v>1776</v>
      </c>
      <c r="AF27" s="77" t="s">
        <v>1872</v>
      </c>
      <c r="AG27" s="77" t="s">
        <v>1965</v>
      </c>
      <c r="AH27" s="77" t="s">
        <v>2039</v>
      </c>
      <c r="AI27" s="77" t="s">
        <v>2119</v>
      </c>
      <c r="AJ27" s="77">
        <v>41018</v>
      </c>
      <c r="AK27" s="77">
        <v>51</v>
      </c>
      <c r="AL27" s="77">
        <v>886</v>
      </c>
      <c r="AM27" s="77">
        <v>0</v>
      </c>
      <c r="AN27" s="77" t="s">
        <v>2181</v>
      </c>
      <c r="AO27" s="98" t="str">
        <f>HYPERLINK("https://www.youtube.com/watch?v=OHPpCpOGbt8")</f>
        <v>https://www.youtube.com/watch?v=OHPpCpOGbt8</v>
      </c>
      <c r="AP27" s="77" t="str">
        <f>REPLACE(INDEX(GroupVertices[Group],MATCH("~"&amp;Vertices[[#This Row],[Vertex]],GroupVertices[Vertex],0)),1,1,"")</f>
        <v>3</v>
      </c>
      <c r="AQ27" s="45">
        <v>0</v>
      </c>
      <c r="AR27" s="46">
        <v>0</v>
      </c>
      <c r="AS27" s="45">
        <v>1</v>
      </c>
      <c r="AT27" s="46">
        <v>1.2987012987012987</v>
      </c>
      <c r="AU27" s="45">
        <v>0</v>
      </c>
      <c r="AV27" s="46">
        <v>0</v>
      </c>
      <c r="AW27" s="45">
        <v>53</v>
      </c>
      <c r="AX27" s="46">
        <v>68.83116883116882</v>
      </c>
      <c r="AY27" s="45">
        <v>77</v>
      </c>
      <c r="AZ27" s="45"/>
      <c r="BA27" s="45"/>
      <c r="BB27" s="45"/>
      <c r="BC27" s="45"/>
      <c r="BD27" s="45"/>
      <c r="BE27" s="45"/>
      <c r="BF27" s="111" t="s">
        <v>1674</v>
      </c>
      <c r="BG27" s="111" t="s">
        <v>1674</v>
      </c>
      <c r="BH27" s="111" t="s">
        <v>1674</v>
      </c>
      <c r="BI27" s="111" t="s">
        <v>1674</v>
      </c>
      <c r="BJ27" s="2"/>
    </row>
    <row r="28" spans="1:62" ht="41.45" customHeight="1">
      <c r="A28" s="62" t="s">
        <v>245</v>
      </c>
      <c r="C28" s="63"/>
      <c r="D28" s="63" t="s">
        <v>64</v>
      </c>
      <c r="E28" s="64">
        <v>591.529908200632</v>
      </c>
      <c r="F28" s="66">
        <v>95.37519216987113</v>
      </c>
      <c r="G28" s="96" t="str">
        <f>HYPERLINK("https://i.ytimg.com/vi/tpHrMBiQUCA/default.jpg")</f>
        <v>https://i.ytimg.com/vi/tpHrMBiQUCA/default.jpg</v>
      </c>
      <c r="H28" s="63"/>
      <c r="I28" s="67" t="s">
        <v>1773</v>
      </c>
      <c r="J28" s="68"/>
      <c r="K28" s="68" t="s">
        <v>75</v>
      </c>
      <c r="L28" s="47" t="s">
        <v>1869</v>
      </c>
      <c r="M28" s="71">
        <v>228.26345794928307</v>
      </c>
      <c r="N28" s="72">
        <v>2120.8994140625</v>
      </c>
      <c r="O28" s="72">
        <v>6440.2802734375</v>
      </c>
      <c r="P28" s="73"/>
      <c r="Q28" s="74"/>
      <c r="R28" s="74"/>
      <c r="S28" s="82"/>
      <c r="T28" s="45">
        <v>16</v>
      </c>
      <c r="U28" s="45">
        <v>9</v>
      </c>
      <c r="V28" s="46">
        <v>141.320319</v>
      </c>
      <c r="W28" s="46">
        <v>0.535948</v>
      </c>
      <c r="X28" s="46">
        <v>0.223679</v>
      </c>
      <c r="Y28" s="46">
        <v>0.013111</v>
      </c>
      <c r="Z28" s="46">
        <v>0.205</v>
      </c>
      <c r="AA28" s="46">
        <v>0</v>
      </c>
      <c r="AB28" s="69">
        <v>28</v>
      </c>
      <c r="AC28" s="69"/>
      <c r="AD28" s="70"/>
      <c r="AE28" s="77" t="s">
        <v>1773</v>
      </c>
      <c r="AF28" s="77" t="s">
        <v>1869</v>
      </c>
      <c r="AG28" s="77" t="s">
        <v>1962</v>
      </c>
      <c r="AH28" s="77" t="s">
        <v>2039</v>
      </c>
      <c r="AI28" s="77" t="s">
        <v>2116</v>
      </c>
      <c r="AJ28" s="77">
        <v>57386</v>
      </c>
      <c r="AK28" s="77">
        <v>124</v>
      </c>
      <c r="AL28" s="77">
        <v>850</v>
      </c>
      <c r="AM28" s="77">
        <v>0</v>
      </c>
      <c r="AN28" s="77" t="s">
        <v>2181</v>
      </c>
      <c r="AO28" s="98" t="str">
        <f>HYPERLINK("https://www.youtube.com/watch?v=tpHrMBiQUCA")</f>
        <v>https://www.youtube.com/watch?v=tpHrMBiQUCA</v>
      </c>
      <c r="AP28" s="77" t="str">
        <f>REPLACE(INDEX(GroupVertices[Group],MATCH("~"&amp;Vertices[[#This Row],[Vertex]],GroupVertices[Vertex],0)),1,1,"")</f>
        <v>1</v>
      </c>
      <c r="AQ28" s="45">
        <v>0</v>
      </c>
      <c r="AR28" s="46">
        <v>0</v>
      </c>
      <c r="AS28" s="45">
        <v>1</v>
      </c>
      <c r="AT28" s="46">
        <v>1.6129032258064515</v>
      </c>
      <c r="AU28" s="45">
        <v>0</v>
      </c>
      <c r="AV28" s="46">
        <v>0</v>
      </c>
      <c r="AW28" s="45">
        <v>40</v>
      </c>
      <c r="AX28" s="46">
        <v>64.51612903225806</v>
      </c>
      <c r="AY28" s="45">
        <v>62</v>
      </c>
      <c r="AZ28" s="45"/>
      <c r="BA28" s="45"/>
      <c r="BB28" s="45"/>
      <c r="BC28" s="45"/>
      <c r="BD28" s="45"/>
      <c r="BE28" s="45"/>
      <c r="BF28" s="111" t="s">
        <v>1674</v>
      </c>
      <c r="BG28" s="111" t="s">
        <v>1674</v>
      </c>
      <c r="BH28" s="111" t="s">
        <v>1674</v>
      </c>
      <c r="BI28" s="111" t="s">
        <v>1674</v>
      </c>
      <c r="BJ28" s="2"/>
    </row>
    <row r="29" spans="1:62" ht="41.45" customHeight="1">
      <c r="A29" s="62" t="s">
        <v>270</v>
      </c>
      <c r="C29" s="63"/>
      <c r="D29" s="63" t="s">
        <v>64</v>
      </c>
      <c r="E29" s="64">
        <v>646.3390338508202</v>
      </c>
      <c r="F29" s="66">
        <v>95.69434344244817</v>
      </c>
      <c r="G29" s="96" t="str">
        <f>HYPERLINK("https://i.ytimg.com/vi/fAdnFU3uVAE/default.jpg")</f>
        <v>https://i.ytimg.com/vi/fAdnFU3uVAE/default.jpg</v>
      </c>
      <c r="H29" s="63"/>
      <c r="I29" s="67" t="s">
        <v>1789</v>
      </c>
      <c r="J29" s="68"/>
      <c r="K29" s="68" t="s">
        <v>75</v>
      </c>
      <c r="L29" s="47" t="s">
        <v>1885</v>
      </c>
      <c r="M29" s="71">
        <v>379.11964851040517</v>
      </c>
      <c r="N29" s="72">
        <v>1161.57373046875</v>
      </c>
      <c r="O29" s="72">
        <v>2035.4342041015625</v>
      </c>
      <c r="P29" s="73"/>
      <c r="Q29" s="74"/>
      <c r="R29" s="74"/>
      <c r="S29" s="82"/>
      <c r="T29" s="45">
        <v>13</v>
      </c>
      <c r="U29" s="45">
        <v>6</v>
      </c>
      <c r="V29" s="46">
        <v>131.568009</v>
      </c>
      <c r="W29" s="46">
        <v>0.485207</v>
      </c>
      <c r="X29" s="46">
        <v>0.128324</v>
      </c>
      <c r="Y29" s="46">
        <v>0.013091</v>
      </c>
      <c r="Z29" s="46">
        <v>0.17251461988304093</v>
      </c>
      <c r="AA29" s="46">
        <v>0</v>
      </c>
      <c r="AB29" s="69">
        <v>29</v>
      </c>
      <c r="AC29" s="69"/>
      <c r="AD29" s="70"/>
      <c r="AE29" s="77" t="s">
        <v>1789</v>
      </c>
      <c r="AF29" s="77" t="s">
        <v>1885</v>
      </c>
      <c r="AG29" s="77" t="s">
        <v>1974</v>
      </c>
      <c r="AH29" s="77" t="s">
        <v>2031</v>
      </c>
      <c r="AI29" s="77" t="s">
        <v>2132</v>
      </c>
      <c r="AJ29" s="77">
        <v>95286</v>
      </c>
      <c r="AK29" s="77">
        <v>149</v>
      </c>
      <c r="AL29" s="77">
        <v>1523</v>
      </c>
      <c r="AM29" s="77">
        <v>0</v>
      </c>
      <c r="AN29" s="77" t="s">
        <v>2181</v>
      </c>
      <c r="AO29" s="98" t="str">
        <f>HYPERLINK("https://www.youtube.com/watch?v=fAdnFU3uVAE")</f>
        <v>https://www.youtube.com/watch?v=fAdnFU3uVAE</v>
      </c>
      <c r="AP29" s="77" t="str">
        <f>REPLACE(INDEX(GroupVertices[Group],MATCH("~"&amp;Vertices[[#This Row],[Vertex]],GroupVertices[Vertex],0)),1,1,"")</f>
        <v>2</v>
      </c>
      <c r="AQ29" s="45">
        <v>0</v>
      </c>
      <c r="AR29" s="46">
        <v>0</v>
      </c>
      <c r="AS29" s="45">
        <v>0</v>
      </c>
      <c r="AT29" s="46">
        <v>0</v>
      </c>
      <c r="AU29" s="45">
        <v>0</v>
      </c>
      <c r="AV29" s="46">
        <v>0</v>
      </c>
      <c r="AW29" s="45">
        <v>54</v>
      </c>
      <c r="AX29" s="46">
        <v>91.52542372881356</v>
      </c>
      <c r="AY29" s="45">
        <v>59</v>
      </c>
      <c r="AZ29" s="45" t="s">
        <v>3577</v>
      </c>
      <c r="BA29" s="45" t="s">
        <v>3584</v>
      </c>
      <c r="BB29" s="45" t="s">
        <v>1670</v>
      </c>
      <c r="BC29" s="45" t="s">
        <v>1670</v>
      </c>
      <c r="BD29" s="45"/>
      <c r="BE29" s="45"/>
      <c r="BF29" s="111" t="s">
        <v>1674</v>
      </c>
      <c r="BG29" s="111" t="s">
        <v>1674</v>
      </c>
      <c r="BH29" s="111" t="s">
        <v>1674</v>
      </c>
      <c r="BI29" s="111" t="s">
        <v>1674</v>
      </c>
      <c r="BJ29" s="2"/>
    </row>
    <row r="30" spans="1:62" ht="41.45" customHeight="1">
      <c r="A30" s="62" t="s">
        <v>289</v>
      </c>
      <c r="C30" s="63"/>
      <c r="D30" s="63" t="s">
        <v>64</v>
      </c>
      <c r="E30" s="64">
        <v>793.5633983406851</v>
      </c>
      <c r="F30" s="66">
        <v>95.80711136428012</v>
      </c>
      <c r="G30" s="96" t="str">
        <f>HYPERLINK("https://i.ytimg.com/vi/eQ0V8uvfB98/default.jpg")</f>
        <v>https://i.ytimg.com/vi/eQ0V8uvfB98/default.jpg</v>
      </c>
      <c r="H30" s="63"/>
      <c r="I30" s="67" t="s">
        <v>1820</v>
      </c>
      <c r="J30" s="68"/>
      <c r="K30" s="68" t="s">
        <v>75</v>
      </c>
      <c r="L30" s="47" t="s">
        <v>1916</v>
      </c>
      <c r="M30" s="71">
        <v>1480.6604069393397</v>
      </c>
      <c r="N30" s="72">
        <v>6680.22509765625</v>
      </c>
      <c r="O30" s="72">
        <v>7124.55712890625</v>
      </c>
      <c r="P30" s="73"/>
      <c r="Q30" s="74"/>
      <c r="R30" s="74"/>
      <c r="S30" s="82"/>
      <c r="T30" s="45">
        <v>0</v>
      </c>
      <c r="U30" s="45">
        <v>15</v>
      </c>
      <c r="V30" s="46">
        <v>128.122158</v>
      </c>
      <c r="W30" s="46">
        <v>0.458101</v>
      </c>
      <c r="X30" s="46">
        <v>0.101065</v>
      </c>
      <c r="Y30" s="46">
        <v>0.012872</v>
      </c>
      <c r="Z30" s="46">
        <v>0.1619047619047619</v>
      </c>
      <c r="AA30" s="46">
        <v>0</v>
      </c>
      <c r="AB30" s="69">
        <v>30</v>
      </c>
      <c r="AC30" s="69"/>
      <c r="AD30" s="70"/>
      <c r="AE30" s="77" t="s">
        <v>1820</v>
      </c>
      <c r="AF30" s="77" t="s">
        <v>1916</v>
      </c>
      <c r="AG30" s="77" t="s">
        <v>2002</v>
      </c>
      <c r="AH30" s="77" t="s">
        <v>2020</v>
      </c>
      <c r="AI30" s="77" t="s">
        <v>2163</v>
      </c>
      <c r="AJ30" s="77">
        <v>372029</v>
      </c>
      <c r="AK30" s="77">
        <v>502</v>
      </c>
      <c r="AL30" s="77">
        <v>18935</v>
      </c>
      <c r="AM30" s="77">
        <v>0</v>
      </c>
      <c r="AN30" s="77" t="s">
        <v>2181</v>
      </c>
      <c r="AO30" s="98" t="str">
        <f>HYPERLINK("https://www.youtube.com/watch?v=eQ0V8uvfB98")</f>
        <v>https://www.youtube.com/watch?v=eQ0V8uvfB98</v>
      </c>
      <c r="AP30" s="77" t="str">
        <f>REPLACE(INDEX(GroupVertices[Group],MATCH("~"&amp;Vertices[[#This Row],[Vertex]],GroupVertices[Vertex],0)),1,1,"")</f>
        <v>3</v>
      </c>
      <c r="AQ30" s="45">
        <v>4</v>
      </c>
      <c r="AR30" s="46">
        <v>3.278688524590164</v>
      </c>
      <c r="AS30" s="45">
        <v>0</v>
      </c>
      <c r="AT30" s="46">
        <v>0</v>
      </c>
      <c r="AU30" s="45">
        <v>0</v>
      </c>
      <c r="AV30" s="46">
        <v>0</v>
      </c>
      <c r="AW30" s="45">
        <v>94</v>
      </c>
      <c r="AX30" s="46">
        <v>77.04918032786885</v>
      </c>
      <c r="AY30" s="45">
        <v>122</v>
      </c>
      <c r="AZ30" s="45" t="s">
        <v>3581</v>
      </c>
      <c r="BA30" s="45" t="s">
        <v>3587</v>
      </c>
      <c r="BB30" s="45" t="s">
        <v>1670</v>
      </c>
      <c r="BC30" s="45" t="s">
        <v>1670</v>
      </c>
      <c r="BD30" s="45"/>
      <c r="BE30" s="45"/>
      <c r="BF30" s="111" t="s">
        <v>1674</v>
      </c>
      <c r="BG30" s="111" t="s">
        <v>1674</v>
      </c>
      <c r="BH30" s="111" t="s">
        <v>1674</v>
      </c>
      <c r="BI30" s="111" t="s">
        <v>1674</v>
      </c>
      <c r="BJ30" s="2"/>
    </row>
    <row r="31" spans="1:62" ht="41.45" customHeight="1">
      <c r="A31" s="62" t="s">
        <v>277</v>
      </c>
      <c r="C31" s="63"/>
      <c r="D31" s="63" t="s">
        <v>64</v>
      </c>
      <c r="E31" s="64">
        <v>631.7642767705404</v>
      </c>
      <c r="F31" s="66">
        <v>95.83278308051189</v>
      </c>
      <c r="G31" s="96" t="str">
        <f>HYPERLINK("https://i.ytimg.com/vi/mc8gZlOCNhc/default.jpg")</f>
        <v>https://i.ytimg.com/vi/mc8gZlOCNhc/default.jpg</v>
      </c>
      <c r="H31" s="63"/>
      <c r="I31" s="67" t="s">
        <v>1805</v>
      </c>
      <c r="J31" s="68"/>
      <c r="K31" s="68" t="s">
        <v>75</v>
      </c>
      <c r="L31" s="47" t="s">
        <v>1901</v>
      </c>
      <c r="M31" s="71">
        <v>331.27554796832896</v>
      </c>
      <c r="N31" s="72">
        <v>854.9378662109375</v>
      </c>
      <c r="O31" s="72">
        <v>6160.51171875</v>
      </c>
      <c r="P31" s="73"/>
      <c r="Q31" s="74"/>
      <c r="R31" s="74"/>
      <c r="S31" s="82"/>
      <c r="T31" s="45">
        <v>4</v>
      </c>
      <c r="U31" s="45">
        <v>19</v>
      </c>
      <c r="V31" s="46">
        <v>127.337707</v>
      </c>
      <c r="W31" s="46">
        <v>0.509317</v>
      </c>
      <c r="X31" s="46">
        <v>0.19481</v>
      </c>
      <c r="Y31" s="46">
        <v>0.013177</v>
      </c>
      <c r="Z31" s="46">
        <v>0.22134387351778656</v>
      </c>
      <c r="AA31" s="46">
        <v>0</v>
      </c>
      <c r="AB31" s="69">
        <v>31</v>
      </c>
      <c r="AC31" s="69"/>
      <c r="AD31" s="70"/>
      <c r="AE31" s="77" t="s">
        <v>1805</v>
      </c>
      <c r="AF31" s="77" t="s">
        <v>1901</v>
      </c>
      <c r="AG31" s="77" t="s">
        <v>1988</v>
      </c>
      <c r="AH31" s="77" t="s">
        <v>2059</v>
      </c>
      <c r="AI31" s="77" t="s">
        <v>2148</v>
      </c>
      <c r="AJ31" s="77">
        <v>83266</v>
      </c>
      <c r="AK31" s="77">
        <v>46</v>
      </c>
      <c r="AL31" s="77">
        <v>1164</v>
      </c>
      <c r="AM31" s="77">
        <v>0</v>
      </c>
      <c r="AN31" s="77" t="s">
        <v>2181</v>
      </c>
      <c r="AO31" s="98" t="str">
        <f>HYPERLINK("https://www.youtube.com/watch?v=mc8gZlOCNhc")</f>
        <v>https://www.youtube.com/watch?v=mc8gZlOCNhc</v>
      </c>
      <c r="AP31" s="77" t="str">
        <f>REPLACE(INDEX(GroupVertices[Group],MATCH("~"&amp;Vertices[[#This Row],[Vertex]],GroupVertices[Vertex],0)),1,1,"")</f>
        <v>1</v>
      </c>
      <c r="AQ31" s="45">
        <v>2</v>
      </c>
      <c r="AR31" s="46">
        <v>4.25531914893617</v>
      </c>
      <c r="AS31" s="45">
        <v>1</v>
      </c>
      <c r="AT31" s="46">
        <v>2.127659574468085</v>
      </c>
      <c r="AU31" s="45">
        <v>0</v>
      </c>
      <c r="AV31" s="46">
        <v>0</v>
      </c>
      <c r="AW31" s="45">
        <v>30</v>
      </c>
      <c r="AX31" s="46">
        <v>63.829787234042556</v>
      </c>
      <c r="AY31" s="45">
        <v>47</v>
      </c>
      <c r="AZ31" s="45"/>
      <c r="BA31" s="45"/>
      <c r="BB31" s="45"/>
      <c r="BC31" s="45"/>
      <c r="BD31" s="45"/>
      <c r="BE31" s="45"/>
      <c r="BF31" s="111" t="s">
        <v>1674</v>
      </c>
      <c r="BG31" s="111" t="s">
        <v>1674</v>
      </c>
      <c r="BH31" s="111" t="s">
        <v>1674</v>
      </c>
      <c r="BI31" s="111" t="s">
        <v>1674</v>
      </c>
      <c r="BJ31" s="2"/>
    </row>
    <row r="32" spans="1:62" ht="41.45" customHeight="1">
      <c r="A32" s="62" t="s">
        <v>258</v>
      </c>
      <c r="C32" s="63"/>
      <c r="D32" s="63" t="s">
        <v>64</v>
      </c>
      <c r="E32" s="64">
        <v>809.4782303603503</v>
      </c>
      <c r="F32" s="66">
        <v>96.37725826505242</v>
      </c>
      <c r="G32" s="96" t="str">
        <f>HYPERLINK("https://i.ytimg.com/vi/sQ6S7XzvFgw/default.jpg")</f>
        <v>https://i.ytimg.com/vi/sQ6S7XzvFgw/default.jpg</v>
      </c>
      <c r="H32" s="63"/>
      <c r="I32" s="67" t="s">
        <v>1782</v>
      </c>
      <c r="J32" s="68"/>
      <c r="K32" s="68" t="s">
        <v>75</v>
      </c>
      <c r="L32" s="47" t="s">
        <v>1878</v>
      </c>
      <c r="M32" s="71">
        <v>1715.5661837772072</v>
      </c>
      <c r="N32" s="72">
        <v>1114.7379150390625</v>
      </c>
      <c r="O32" s="72">
        <v>7674.23876953125</v>
      </c>
      <c r="P32" s="73"/>
      <c r="Q32" s="74"/>
      <c r="R32" s="74"/>
      <c r="S32" s="82"/>
      <c r="T32" s="45">
        <v>9</v>
      </c>
      <c r="U32" s="45">
        <v>8</v>
      </c>
      <c r="V32" s="46">
        <v>110.700171</v>
      </c>
      <c r="W32" s="46">
        <v>0.506173</v>
      </c>
      <c r="X32" s="46">
        <v>0.163472</v>
      </c>
      <c r="Y32" s="46">
        <v>0.012444</v>
      </c>
      <c r="Z32" s="46">
        <v>0.23529411764705882</v>
      </c>
      <c r="AA32" s="46">
        <v>0</v>
      </c>
      <c r="AB32" s="69">
        <v>32</v>
      </c>
      <c r="AC32" s="69"/>
      <c r="AD32" s="70"/>
      <c r="AE32" s="77" t="s">
        <v>1782</v>
      </c>
      <c r="AF32" s="77" t="s">
        <v>1878</v>
      </c>
      <c r="AG32" s="77" t="s">
        <v>1968</v>
      </c>
      <c r="AH32" s="77" t="s">
        <v>2048</v>
      </c>
      <c r="AI32" s="77" t="s">
        <v>2125</v>
      </c>
      <c r="AJ32" s="77">
        <v>431045</v>
      </c>
      <c r="AK32" s="77">
        <v>1207</v>
      </c>
      <c r="AL32" s="77">
        <v>20996</v>
      </c>
      <c r="AM32" s="77">
        <v>0</v>
      </c>
      <c r="AN32" s="77" t="s">
        <v>2181</v>
      </c>
      <c r="AO32" s="98" t="str">
        <f>HYPERLINK("https://www.youtube.com/watch?v=sQ6S7XzvFgw")</f>
        <v>https://www.youtube.com/watch?v=sQ6S7XzvFgw</v>
      </c>
      <c r="AP32" s="77" t="str">
        <f>REPLACE(INDEX(GroupVertices[Group],MATCH("~"&amp;Vertices[[#This Row],[Vertex]],GroupVertices[Vertex],0)),1,1,"")</f>
        <v>1</v>
      </c>
      <c r="AQ32" s="45">
        <v>4</v>
      </c>
      <c r="AR32" s="46">
        <v>5.882352941176471</v>
      </c>
      <c r="AS32" s="45">
        <v>0</v>
      </c>
      <c r="AT32" s="46">
        <v>0</v>
      </c>
      <c r="AU32" s="45">
        <v>0</v>
      </c>
      <c r="AV32" s="46">
        <v>0</v>
      </c>
      <c r="AW32" s="45">
        <v>45</v>
      </c>
      <c r="AX32" s="46">
        <v>66.17647058823529</v>
      </c>
      <c r="AY32" s="45">
        <v>68</v>
      </c>
      <c r="AZ32" s="45" t="s">
        <v>3427</v>
      </c>
      <c r="BA32" s="45" t="s">
        <v>3427</v>
      </c>
      <c r="BB32" s="45" t="s">
        <v>1670</v>
      </c>
      <c r="BC32" s="45" t="s">
        <v>1670</v>
      </c>
      <c r="BD32" s="45"/>
      <c r="BE32" s="45"/>
      <c r="BF32" s="111" t="s">
        <v>1674</v>
      </c>
      <c r="BG32" s="111" t="s">
        <v>1674</v>
      </c>
      <c r="BH32" s="111" t="s">
        <v>1674</v>
      </c>
      <c r="BI32" s="111" t="s">
        <v>1674</v>
      </c>
      <c r="BJ32" s="2"/>
    </row>
    <row r="33" spans="1:62" ht="41.45" customHeight="1">
      <c r="A33" s="62" t="s">
        <v>279</v>
      </c>
      <c r="C33" s="63"/>
      <c r="D33" s="63" t="s">
        <v>64</v>
      </c>
      <c r="E33" s="64">
        <v>597.2790703335588</v>
      </c>
      <c r="F33" s="66">
        <v>96.5391202503708</v>
      </c>
      <c r="G33" s="96" t="str">
        <f>HYPERLINK("https://i.ytimg.com/vi/nhU5voy-uzg/default.jpg")</f>
        <v>https://i.ytimg.com/vi/nhU5voy-uzg/default.jpg</v>
      </c>
      <c r="H33" s="63"/>
      <c r="I33" s="67" t="s">
        <v>1808</v>
      </c>
      <c r="J33" s="68"/>
      <c r="K33" s="68" t="s">
        <v>75</v>
      </c>
      <c r="L33" s="47" t="s">
        <v>1904</v>
      </c>
      <c r="M33" s="71">
        <v>240.74193175955003</v>
      </c>
      <c r="N33" s="72">
        <v>6435.92431640625</v>
      </c>
      <c r="O33" s="72">
        <v>9326.6337890625</v>
      </c>
      <c r="P33" s="73"/>
      <c r="Q33" s="74"/>
      <c r="R33" s="74"/>
      <c r="S33" s="82"/>
      <c r="T33" s="45">
        <v>2</v>
      </c>
      <c r="U33" s="45">
        <v>13</v>
      </c>
      <c r="V33" s="46">
        <v>105.754152</v>
      </c>
      <c r="W33" s="46">
        <v>0.460674</v>
      </c>
      <c r="X33" s="46">
        <v>0.114136</v>
      </c>
      <c r="Y33" s="46">
        <v>0.012696</v>
      </c>
      <c r="Z33" s="46">
        <v>0.20476190476190476</v>
      </c>
      <c r="AA33" s="46">
        <v>0</v>
      </c>
      <c r="AB33" s="69">
        <v>33</v>
      </c>
      <c r="AC33" s="69"/>
      <c r="AD33" s="70"/>
      <c r="AE33" s="77" t="s">
        <v>1808</v>
      </c>
      <c r="AF33" s="77" t="s">
        <v>1904</v>
      </c>
      <c r="AG33" s="77" t="s">
        <v>1991</v>
      </c>
      <c r="AH33" s="77" t="s">
        <v>2061</v>
      </c>
      <c r="AI33" s="77" t="s">
        <v>2151</v>
      </c>
      <c r="AJ33" s="77">
        <v>60521</v>
      </c>
      <c r="AK33" s="77">
        <v>40</v>
      </c>
      <c r="AL33" s="77">
        <v>759</v>
      </c>
      <c r="AM33" s="77">
        <v>0</v>
      </c>
      <c r="AN33" s="77" t="s">
        <v>2181</v>
      </c>
      <c r="AO33" s="98" t="str">
        <f>HYPERLINK("https://www.youtube.com/watch?v=nhU5voy-uzg")</f>
        <v>https://www.youtube.com/watch?v=nhU5voy-uzg</v>
      </c>
      <c r="AP33" s="77" t="str">
        <f>REPLACE(INDEX(GroupVertices[Group],MATCH("~"&amp;Vertices[[#This Row],[Vertex]],GroupVertices[Vertex],0)),1,1,"")</f>
        <v>3</v>
      </c>
      <c r="AQ33" s="45">
        <v>12</v>
      </c>
      <c r="AR33" s="46">
        <v>5.333333333333333</v>
      </c>
      <c r="AS33" s="45">
        <v>3</v>
      </c>
      <c r="AT33" s="46">
        <v>1.3333333333333333</v>
      </c>
      <c r="AU33" s="45">
        <v>0</v>
      </c>
      <c r="AV33" s="46">
        <v>0</v>
      </c>
      <c r="AW33" s="45">
        <v>139</v>
      </c>
      <c r="AX33" s="46">
        <v>61.77777777777778</v>
      </c>
      <c r="AY33" s="45">
        <v>225</v>
      </c>
      <c r="AZ33" s="45"/>
      <c r="BA33" s="45"/>
      <c r="BB33" s="45"/>
      <c r="BC33" s="45"/>
      <c r="BD33" s="45"/>
      <c r="BE33" s="45"/>
      <c r="BF33" s="111" t="s">
        <v>1674</v>
      </c>
      <c r="BG33" s="111" t="s">
        <v>1674</v>
      </c>
      <c r="BH33" s="111" t="s">
        <v>1674</v>
      </c>
      <c r="BI33" s="111" t="s">
        <v>1674</v>
      </c>
      <c r="BJ33" s="2"/>
    </row>
    <row r="34" spans="1:62" ht="41.45" customHeight="1">
      <c r="A34" s="62" t="s">
        <v>255</v>
      </c>
      <c r="C34" s="63"/>
      <c r="D34" s="63" t="s">
        <v>64</v>
      </c>
      <c r="E34" s="64">
        <v>654.8171932147992</v>
      </c>
      <c r="F34" s="66">
        <v>96.70784730430944</v>
      </c>
      <c r="G34" s="96" t="str">
        <f>HYPERLINK("https://i.ytimg.com/vi/MjdQCiob2y0/default.jpg")</f>
        <v>https://i.ytimg.com/vi/MjdQCiob2y0/default.jpg</v>
      </c>
      <c r="H34" s="63"/>
      <c r="I34" s="67" t="s">
        <v>1779</v>
      </c>
      <c r="J34" s="68"/>
      <c r="K34" s="68" t="s">
        <v>75</v>
      </c>
      <c r="L34" s="47" t="s">
        <v>1875</v>
      </c>
      <c r="M34" s="71">
        <v>410.0670596347515</v>
      </c>
      <c r="N34" s="72">
        <v>1667.060791015625</v>
      </c>
      <c r="O34" s="72">
        <v>7873.19384765625</v>
      </c>
      <c r="P34" s="73"/>
      <c r="Q34" s="74"/>
      <c r="R34" s="74"/>
      <c r="S34" s="82"/>
      <c r="T34" s="45">
        <v>14</v>
      </c>
      <c r="U34" s="45">
        <v>7</v>
      </c>
      <c r="V34" s="46">
        <v>100.598357</v>
      </c>
      <c r="W34" s="46">
        <v>0.509317</v>
      </c>
      <c r="X34" s="46">
        <v>0.20185</v>
      </c>
      <c r="Y34" s="46">
        <v>0.012537</v>
      </c>
      <c r="Z34" s="46">
        <v>0.2523809523809524</v>
      </c>
      <c r="AA34" s="46">
        <v>0</v>
      </c>
      <c r="AB34" s="69">
        <v>34</v>
      </c>
      <c r="AC34" s="69"/>
      <c r="AD34" s="70"/>
      <c r="AE34" s="77" t="s">
        <v>1779</v>
      </c>
      <c r="AF34" s="77" t="s">
        <v>1875</v>
      </c>
      <c r="AG34" s="77" t="s">
        <v>1962</v>
      </c>
      <c r="AH34" s="77" t="s">
        <v>2039</v>
      </c>
      <c r="AI34" s="77" t="s">
        <v>2122</v>
      </c>
      <c r="AJ34" s="77">
        <v>103061</v>
      </c>
      <c r="AK34" s="77">
        <v>207</v>
      </c>
      <c r="AL34" s="77">
        <v>1719</v>
      </c>
      <c r="AM34" s="77">
        <v>0</v>
      </c>
      <c r="AN34" s="77" t="s">
        <v>2181</v>
      </c>
      <c r="AO34" s="98" t="str">
        <f>HYPERLINK("https://www.youtube.com/watch?v=MjdQCiob2y0")</f>
        <v>https://www.youtube.com/watch?v=MjdQCiob2y0</v>
      </c>
      <c r="AP34" s="77" t="str">
        <f>REPLACE(INDEX(GroupVertices[Group],MATCH("~"&amp;Vertices[[#This Row],[Vertex]],GroupVertices[Vertex],0)),1,1,"")</f>
        <v>1</v>
      </c>
      <c r="AQ34" s="45">
        <v>0</v>
      </c>
      <c r="AR34" s="46">
        <v>0</v>
      </c>
      <c r="AS34" s="45">
        <v>1</v>
      </c>
      <c r="AT34" s="46">
        <v>1.4705882352941178</v>
      </c>
      <c r="AU34" s="45">
        <v>0</v>
      </c>
      <c r="AV34" s="46">
        <v>0</v>
      </c>
      <c r="AW34" s="45">
        <v>46</v>
      </c>
      <c r="AX34" s="46">
        <v>67.6470588235294</v>
      </c>
      <c r="AY34" s="45">
        <v>68</v>
      </c>
      <c r="AZ34" s="45"/>
      <c r="BA34" s="45"/>
      <c r="BB34" s="45"/>
      <c r="BC34" s="45"/>
      <c r="BD34" s="45"/>
      <c r="BE34" s="45"/>
      <c r="BF34" s="111" t="s">
        <v>1674</v>
      </c>
      <c r="BG34" s="111" t="s">
        <v>1674</v>
      </c>
      <c r="BH34" s="111" t="s">
        <v>1674</v>
      </c>
      <c r="BI34" s="111" t="s">
        <v>1674</v>
      </c>
      <c r="BJ34" s="2"/>
    </row>
    <row r="35" spans="1:62" ht="41.45" customHeight="1">
      <c r="A35" s="62" t="s">
        <v>243</v>
      </c>
      <c r="C35" s="63"/>
      <c r="D35" s="63" t="s">
        <v>64</v>
      </c>
      <c r="E35" s="64">
        <v>518.8723089343649</v>
      </c>
      <c r="F35" s="66">
        <v>96.75624143030231</v>
      </c>
      <c r="G35" s="96" t="str">
        <f>HYPERLINK("https://i.ytimg.com/vi/qCqsgXyM8_k/default.jpg")</f>
        <v>https://i.ytimg.com/vi/qCqsgXyM8_k/default.jpg</v>
      </c>
      <c r="H35" s="63"/>
      <c r="I35" s="67" t="s">
        <v>1771</v>
      </c>
      <c r="J35" s="68"/>
      <c r="K35" s="68" t="s">
        <v>75</v>
      </c>
      <c r="L35" s="47" t="s">
        <v>1867</v>
      </c>
      <c r="M35" s="71">
        <v>116.4706619572072</v>
      </c>
      <c r="N35" s="72">
        <v>9000.6513671875</v>
      </c>
      <c r="O35" s="72">
        <v>9801.1845703125</v>
      </c>
      <c r="P35" s="73"/>
      <c r="Q35" s="74"/>
      <c r="R35" s="74"/>
      <c r="S35" s="82"/>
      <c r="T35" s="45">
        <v>9</v>
      </c>
      <c r="U35" s="45">
        <v>5</v>
      </c>
      <c r="V35" s="46">
        <v>99.119577</v>
      </c>
      <c r="W35" s="46">
        <v>0.488095</v>
      </c>
      <c r="X35" s="46">
        <v>0.11282</v>
      </c>
      <c r="Y35" s="46">
        <v>0.012065</v>
      </c>
      <c r="Z35" s="46">
        <v>0.19230769230769232</v>
      </c>
      <c r="AA35" s="46">
        <v>0</v>
      </c>
      <c r="AB35" s="69">
        <v>35</v>
      </c>
      <c r="AC35" s="69"/>
      <c r="AD35" s="70"/>
      <c r="AE35" s="77" t="s">
        <v>1771</v>
      </c>
      <c r="AF35" s="77" t="s">
        <v>1867</v>
      </c>
      <c r="AG35" s="77" t="s">
        <v>1960</v>
      </c>
      <c r="AH35" s="77" t="s">
        <v>2039</v>
      </c>
      <c r="AI35" s="77" t="s">
        <v>2114</v>
      </c>
      <c r="AJ35" s="77">
        <v>29300</v>
      </c>
      <c r="AK35" s="77">
        <v>93</v>
      </c>
      <c r="AL35" s="77">
        <v>478</v>
      </c>
      <c r="AM35" s="77">
        <v>0</v>
      </c>
      <c r="AN35" s="77" t="s">
        <v>2181</v>
      </c>
      <c r="AO35" s="98" t="str">
        <f>HYPERLINK("https://www.youtube.com/watch?v=qCqsgXyM8_k")</f>
        <v>https://www.youtube.com/watch?v=qCqsgXyM8_k</v>
      </c>
      <c r="AP35" s="77" t="str">
        <f>REPLACE(INDEX(GroupVertices[Group],MATCH("~"&amp;Vertices[[#This Row],[Vertex]],GroupVertices[Vertex],0)),1,1,"")</f>
        <v>5</v>
      </c>
      <c r="AQ35" s="45">
        <v>1</v>
      </c>
      <c r="AR35" s="46">
        <v>1.5625</v>
      </c>
      <c r="AS35" s="45">
        <v>1</v>
      </c>
      <c r="AT35" s="46">
        <v>1.5625</v>
      </c>
      <c r="AU35" s="45">
        <v>0</v>
      </c>
      <c r="AV35" s="46">
        <v>0</v>
      </c>
      <c r="AW35" s="45">
        <v>44</v>
      </c>
      <c r="AX35" s="46">
        <v>68.75</v>
      </c>
      <c r="AY35" s="45">
        <v>64</v>
      </c>
      <c r="AZ35" s="45"/>
      <c r="BA35" s="45"/>
      <c r="BB35" s="45"/>
      <c r="BC35" s="45"/>
      <c r="BD35" s="45"/>
      <c r="BE35" s="45"/>
      <c r="BF35" s="111" t="s">
        <v>1674</v>
      </c>
      <c r="BG35" s="111" t="s">
        <v>1674</v>
      </c>
      <c r="BH35" s="111" t="s">
        <v>1674</v>
      </c>
      <c r="BI35" s="111" t="s">
        <v>1674</v>
      </c>
      <c r="BJ35" s="2"/>
    </row>
    <row r="36" spans="1:62" ht="41.45" customHeight="1">
      <c r="A36" s="62" t="s">
        <v>247</v>
      </c>
      <c r="C36" s="63"/>
      <c r="D36" s="63" t="s">
        <v>64</v>
      </c>
      <c r="E36" s="64">
        <v>539.0605013878924</v>
      </c>
      <c r="F36" s="66">
        <v>96.83166139697097</v>
      </c>
      <c r="G36" s="96" t="str">
        <f>HYPERLINK("https://i.ytimg.com/vi/rOol_QXrzTQ/default.jpg")</f>
        <v>https://i.ytimg.com/vi/rOol_QXrzTQ/default.jpg</v>
      </c>
      <c r="H36" s="63"/>
      <c r="I36" s="67" t="s">
        <v>1774</v>
      </c>
      <c r="J36" s="68"/>
      <c r="K36" s="68" t="s">
        <v>75</v>
      </c>
      <c r="L36" s="47" t="s">
        <v>1870</v>
      </c>
      <c r="M36" s="71">
        <v>140.42057484919326</v>
      </c>
      <c r="N36" s="72">
        <v>1599.604248046875</v>
      </c>
      <c r="O36" s="72">
        <v>3567.564453125</v>
      </c>
      <c r="P36" s="73"/>
      <c r="Q36" s="74"/>
      <c r="R36" s="74"/>
      <c r="S36" s="82"/>
      <c r="T36" s="45">
        <v>2</v>
      </c>
      <c r="U36" s="45">
        <v>14</v>
      </c>
      <c r="V36" s="46">
        <v>96.814968</v>
      </c>
      <c r="W36" s="46">
        <v>0.488095</v>
      </c>
      <c r="X36" s="46">
        <v>0.130001</v>
      </c>
      <c r="Y36" s="46">
        <v>0.01212</v>
      </c>
      <c r="Z36" s="46">
        <v>0.1875</v>
      </c>
      <c r="AA36" s="46">
        <v>0</v>
      </c>
      <c r="AB36" s="69">
        <v>36</v>
      </c>
      <c r="AC36" s="69"/>
      <c r="AD36" s="70"/>
      <c r="AE36" s="77" t="s">
        <v>1774</v>
      </c>
      <c r="AF36" s="77" t="s">
        <v>1870</v>
      </c>
      <c r="AG36" s="77" t="s">
        <v>1963</v>
      </c>
      <c r="AH36" s="77" t="s">
        <v>2041</v>
      </c>
      <c r="AI36" s="77" t="s">
        <v>2117</v>
      </c>
      <c r="AJ36" s="77">
        <v>35317</v>
      </c>
      <c r="AK36" s="77">
        <v>206</v>
      </c>
      <c r="AL36" s="77">
        <v>749</v>
      </c>
      <c r="AM36" s="77">
        <v>0</v>
      </c>
      <c r="AN36" s="77" t="s">
        <v>2181</v>
      </c>
      <c r="AO36" s="98" t="str">
        <f>HYPERLINK("https://www.youtube.com/watch?v=rOol_QXrzTQ")</f>
        <v>https://www.youtube.com/watch?v=rOol_QXrzTQ</v>
      </c>
      <c r="AP36" s="77" t="str">
        <f>REPLACE(INDEX(GroupVertices[Group],MATCH("~"&amp;Vertices[[#This Row],[Vertex]],GroupVertices[Vertex],0)),1,1,"")</f>
        <v>2</v>
      </c>
      <c r="AQ36" s="45">
        <v>1</v>
      </c>
      <c r="AR36" s="46">
        <v>1.2658227848101267</v>
      </c>
      <c r="AS36" s="45">
        <v>0</v>
      </c>
      <c r="AT36" s="46">
        <v>0</v>
      </c>
      <c r="AU36" s="45">
        <v>0</v>
      </c>
      <c r="AV36" s="46">
        <v>0</v>
      </c>
      <c r="AW36" s="45">
        <v>51</v>
      </c>
      <c r="AX36" s="46">
        <v>64.55696202531645</v>
      </c>
      <c r="AY36" s="45">
        <v>79</v>
      </c>
      <c r="AZ36" s="45"/>
      <c r="BA36" s="45"/>
      <c r="BB36" s="45"/>
      <c r="BC36" s="45"/>
      <c r="BD36" s="45"/>
      <c r="BE36" s="45"/>
      <c r="BF36" s="111" t="s">
        <v>1674</v>
      </c>
      <c r="BG36" s="111" t="s">
        <v>1674</v>
      </c>
      <c r="BH36" s="111" t="s">
        <v>1674</v>
      </c>
      <c r="BI36" s="111" t="s">
        <v>1674</v>
      </c>
      <c r="BJ36" s="2"/>
    </row>
    <row r="37" spans="1:62" ht="41.45" customHeight="1">
      <c r="A37" s="62" t="s">
        <v>226</v>
      </c>
      <c r="C37" s="63"/>
      <c r="D37" s="63" t="s">
        <v>64</v>
      </c>
      <c r="E37" s="64">
        <v>557.1265600165856</v>
      </c>
      <c r="F37" s="66">
        <v>96.95095266555542</v>
      </c>
      <c r="G37" s="96" t="str">
        <f>HYPERLINK("https://i.ytimg.com/vi/5-96URqq-uE/default.jpg")</f>
        <v>https://i.ytimg.com/vi/5-96URqq-uE/default.jpg</v>
      </c>
      <c r="H37" s="63"/>
      <c r="I37" s="67" t="s">
        <v>1748</v>
      </c>
      <c r="J37" s="68"/>
      <c r="K37" s="68" t="s">
        <v>75</v>
      </c>
      <c r="L37" s="47" t="s">
        <v>1846</v>
      </c>
      <c r="M37" s="71">
        <v>165.99448050500354</v>
      </c>
      <c r="N37" s="72">
        <v>4149.50341796875</v>
      </c>
      <c r="O37" s="72">
        <v>1479.5472412109375</v>
      </c>
      <c r="P37" s="73"/>
      <c r="Q37" s="74"/>
      <c r="R37" s="74"/>
      <c r="S37" s="82"/>
      <c r="T37" s="45">
        <v>2</v>
      </c>
      <c r="U37" s="45">
        <v>3</v>
      </c>
      <c r="V37" s="46">
        <v>93.169783</v>
      </c>
      <c r="W37" s="46">
        <v>0.376147</v>
      </c>
      <c r="X37" s="46">
        <v>0.016093</v>
      </c>
      <c r="Y37" s="46">
        <v>0.01215</v>
      </c>
      <c r="Z37" s="46">
        <v>0.1</v>
      </c>
      <c r="AA37" s="46">
        <v>0</v>
      </c>
      <c r="AB37" s="69">
        <v>37</v>
      </c>
      <c r="AC37" s="69"/>
      <c r="AD37" s="70"/>
      <c r="AE37" s="77" t="s">
        <v>1748</v>
      </c>
      <c r="AF37" s="77" t="s">
        <v>1846</v>
      </c>
      <c r="AG37" s="77" t="s">
        <v>1940</v>
      </c>
      <c r="AH37" s="77" t="s">
        <v>2025</v>
      </c>
      <c r="AI37" s="77" t="s">
        <v>2091</v>
      </c>
      <c r="AJ37" s="77">
        <v>41742</v>
      </c>
      <c r="AK37" s="77">
        <v>21</v>
      </c>
      <c r="AL37" s="77">
        <v>853</v>
      </c>
      <c r="AM37" s="77">
        <v>0</v>
      </c>
      <c r="AN37" s="77" t="s">
        <v>2181</v>
      </c>
      <c r="AO37" s="98" t="str">
        <f>HYPERLINK("https://www.youtube.com/watch?v=5-96URqq-uE")</f>
        <v>https://www.youtube.com/watch?v=5-96URqq-uE</v>
      </c>
      <c r="AP37" s="77" t="str">
        <f>REPLACE(INDEX(GroupVertices[Group],MATCH("~"&amp;Vertices[[#This Row],[Vertex]],GroupVertices[Vertex],0)),1,1,"")</f>
        <v>2</v>
      </c>
      <c r="AQ37" s="45">
        <v>2</v>
      </c>
      <c r="AR37" s="46">
        <v>3.076923076923077</v>
      </c>
      <c r="AS37" s="45">
        <v>0</v>
      </c>
      <c r="AT37" s="46">
        <v>0</v>
      </c>
      <c r="AU37" s="45">
        <v>0</v>
      </c>
      <c r="AV37" s="46">
        <v>0</v>
      </c>
      <c r="AW37" s="45">
        <v>44</v>
      </c>
      <c r="AX37" s="46">
        <v>67.6923076923077</v>
      </c>
      <c r="AY37" s="45">
        <v>65</v>
      </c>
      <c r="AZ37" s="45"/>
      <c r="BA37" s="45"/>
      <c r="BB37" s="45"/>
      <c r="BC37" s="45"/>
      <c r="BD37" s="45"/>
      <c r="BE37" s="45"/>
      <c r="BF37" s="111" t="s">
        <v>1674</v>
      </c>
      <c r="BG37" s="111" t="s">
        <v>1674</v>
      </c>
      <c r="BH37" s="111" t="s">
        <v>1674</v>
      </c>
      <c r="BI37" s="111" t="s">
        <v>1674</v>
      </c>
      <c r="BJ37" s="2"/>
    </row>
    <row r="38" spans="1:62" ht="41.45" customHeight="1">
      <c r="A38" s="62" t="s">
        <v>295</v>
      </c>
      <c r="C38" s="63"/>
      <c r="D38" s="63" t="s">
        <v>64</v>
      </c>
      <c r="E38" s="64">
        <v>407.27035903581526</v>
      </c>
      <c r="F38" s="66">
        <v>96.98759966872811</v>
      </c>
      <c r="G38" s="96" t="str">
        <f>HYPERLINK("https://i.ytimg.com/vi/2IP3iOe5cXI/default.jpg")</f>
        <v>https://i.ytimg.com/vi/2IP3iOe5cXI/default.jpg</v>
      </c>
      <c r="H38" s="63"/>
      <c r="I38" s="67" t="s">
        <v>1755</v>
      </c>
      <c r="J38" s="68"/>
      <c r="K38" s="68" t="s">
        <v>75</v>
      </c>
      <c r="L38" s="47" t="s">
        <v>1853</v>
      </c>
      <c r="M38" s="71">
        <v>41.37691812802171</v>
      </c>
      <c r="N38" s="72">
        <v>2042.2969970703125</v>
      </c>
      <c r="O38" s="72">
        <v>1576.3311767578125</v>
      </c>
      <c r="P38" s="73"/>
      <c r="Q38" s="74"/>
      <c r="R38" s="74"/>
      <c r="S38" s="82"/>
      <c r="T38" s="45">
        <v>10</v>
      </c>
      <c r="U38" s="45">
        <v>0</v>
      </c>
      <c r="V38" s="46">
        <v>92.04996</v>
      </c>
      <c r="W38" s="46">
        <v>0.455556</v>
      </c>
      <c r="X38" s="46">
        <v>0.069283</v>
      </c>
      <c r="Y38" s="46">
        <v>0.011644</v>
      </c>
      <c r="Z38" s="46">
        <v>0.2111111111111111</v>
      </c>
      <c r="AA38" s="46">
        <v>0</v>
      </c>
      <c r="AB38" s="69">
        <v>38</v>
      </c>
      <c r="AC38" s="69"/>
      <c r="AD38" s="70"/>
      <c r="AE38" s="77" t="s">
        <v>1755</v>
      </c>
      <c r="AF38" s="77" t="s">
        <v>1853</v>
      </c>
      <c r="AG38" s="77" t="s">
        <v>1946</v>
      </c>
      <c r="AH38" s="77" t="s">
        <v>2030</v>
      </c>
      <c r="AI38" s="77" t="s">
        <v>2098</v>
      </c>
      <c r="AJ38" s="77">
        <v>10434</v>
      </c>
      <c r="AK38" s="77">
        <v>74</v>
      </c>
      <c r="AL38" s="77">
        <v>208</v>
      </c>
      <c r="AM38" s="77">
        <v>0</v>
      </c>
      <c r="AN38" s="77" t="s">
        <v>2181</v>
      </c>
      <c r="AO38" s="98" t="str">
        <f>HYPERLINK("https://www.youtube.com/watch?v=2IP3iOe5cXI")</f>
        <v>https://www.youtube.com/watch?v=2IP3iOe5cXI</v>
      </c>
      <c r="AP38" s="77" t="str">
        <f>REPLACE(INDEX(GroupVertices[Group],MATCH("~"&amp;Vertices[[#This Row],[Vertex]],GroupVertices[Vertex],0)),1,1,"")</f>
        <v>2</v>
      </c>
      <c r="AQ38" s="45">
        <v>1</v>
      </c>
      <c r="AR38" s="46">
        <v>1.8867924528301887</v>
      </c>
      <c r="AS38" s="45">
        <v>2</v>
      </c>
      <c r="AT38" s="46">
        <v>3.7735849056603774</v>
      </c>
      <c r="AU38" s="45">
        <v>0</v>
      </c>
      <c r="AV38" s="46">
        <v>0</v>
      </c>
      <c r="AW38" s="45">
        <v>35</v>
      </c>
      <c r="AX38" s="46">
        <v>66.0377358490566</v>
      </c>
      <c r="AY38" s="45">
        <v>53</v>
      </c>
      <c r="AZ38" s="45"/>
      <c r="BA38" s="45"/>
      <c r="BB38" s="45"/>
      <c r="BC38" s="45"/>
      <c r="BD38" s="45"/>
      <c r="BE38" s="45"/>
      <c r="BF38" s="45"/>
      <c r="BG38" s="45"/>
      <c r="BH38" s="45"/>
      <c r="BI38" s="45"/>
      <c r="BJ38" s="2"/>
    </row>
    <row r="39" spans="1:62" ht="41.45" customHeight="1">
      <c r="A39" s="62" t="s">
        <v>266</v>
      </c>
      <c r="C39" s="63"/>
      <c r="D39" s="63" t="s">
        <v>64</v>
      </c>
      <c r="E39" s="64">
        <v>691.1994648705377</v>
      </c>
      <c r="F39" s="66">
        <v>97.06062296799723</v>
      </c>
      <c r="G39" s="96" t="str">
        <f>HYPERLINK("https://i.ytimg.com/vi/7Tf5QEdoO4Q/default.jpg")</f>
        <v>https://i.ytimg.com/vi/7Tf5QEdoO4Q/default.jpg</v>
      </c>
      <c r="H39" s="63"/>
      <c r="I39" s="67" t="s">
        <v>1793</v>
      </c>
      <c r="J39" s="68"/>
      <c r="K39" s="68" t="s">
        <v>75</v>
      </c>
      <c r="L39" s="47" t="s">
        <v>1889</v>
      </c>
      <c r="M39" s="71">
        <v>574.2296418857372</v>
      </c>
      <c r="N39" s="72">
        <v>1400.1959228515625</v>
      </c>
      <c r="O39" s="72">
        <v>8627.5263671875</v>
      </c>
      <c r="P39" s="73"/>
      <c r="Q39" s="74"/>
      <c r="R39" s="74"/>
      <c r="S39" s="82"/>
      <c r="T39" s="45">
        <v>4</v>
      </c>
      <c r="U39" s="45">
        <v>10</v>
      </c>
      <c r="V39" s="46">
        <v>89.818586</v>
      </c>
      <c r="W39" s="46">
        <v>0.471264</v>
      </c>
      <c r="X39" s="46">
        <v>0.129766</v>
      </c>
      <c r="Y39" s="46">
        <v>0.012401</v>
      </c>
      <c r="Z39" s="46">
        <v>0.22527472527472528</v>
      </c>
      <c r="AA39" s="46">
        <v>0</v>
      </c>
      <c r="AB39" s="69">
        <v>39</v>
      </c>
      <c r="AC39" s="69"/>
      <c r="AD39" s="70"/>
      <c r="AE39" s="77" t="s">
        <v>1793</v>
      </c>
      <c r="AF39" s="77" t="s">
        <v>1889</v>
      </c>
      <c r="AG39" s="77" t="s">
        <v>1978</v>
      </c>
      <c r="AH39" s="77" t="s">
        <v>2054</v>
      </c>
      <c r="AI39" s="77" t="s">
        <v>2136</v>
      </c>
      <c r="AJ39" s="77">
        <v>144304</v>
      </c>
      <c r="AK39" s="77">
        <v>234</v>
      </c>
      <c r="AL39" s="77">
        <v>2249</v>
      </c>
      <c r="AM39" s="77">
        <v>0</v>
      </c>
      <c r="AN39" s="77" t="s">
        <v>2181</v>
      </c>
      <c r="AO39" s="98" t="str">
        <f>HYPERLINK("https://www.youtube.com/watch?v=7Tf5QEdoO4Q")</f>
        <v>https://www.youtube.com/watch?v=7Tf5QEdoO4Q</v>
      </c>
      <c r="AP39" s="77" t="str">
        <f>REPLACE(INDEX(GroupVertices[Group],MATCH("~"&amp;Vertices[[#This Row],[Vertex]],GroupVertices[Vertex],0)),1,1,"")</f>
        <v>1</v>
      </c>
      <c r="AQ39" s="45">
        <v>0</v>
      </c>
      <c r="AR39" s="46">
        <v>0</v>
      </c>
      <c r="AS39" s="45">
        <v>1</v>
      </c>
      <c r="AT39" s="46">
        <v>0.8928571428571429</v>
      </c>
      <c r="AU39" s="45">
        <v>0</v>
      </c>
      <c r="AV39" s="46">
        <v>0</v>
      </c>
      <c r="AW39" s="45">
        <v>74</v>
      </c>
      <c r="AX39" s="46">
        <v>66.07142857142857</v>
      </c>
      <c r="AY39" s="45">
        <v>112</v>
      </c>
      <c r="AZ39" s="45"/>
      <c r="BA39" s="45"/>
      <c r="BB39" s="45"/>
      <c r="BC39" s="45"/>
      <c r="BD39" s="45"/>
      <c r="BE39" s="45"/>
      <c r="BF39" s="111" t="s">
        <v>1674</v>
      </c>
      <c r="BG39" s="111" t="s">
        <v>1674</v>
      </c>
      <c r="BH39" s="111" t="s">
        <v>1674</v>
      </c>
      <c r="BI39" s="111" t="s">
        <v>1674</v>
      </c>
      <c r="BJ39" s="2"/>
    </row>
    <row r="40" spans="1:62" ht="41.45" customHeight="1">
      <c r="A40" s="62" t="s">
        <v>238</v>
      </c>
      <c r="C40" s="63"/>
      <c r="D40" s="63" t="s">
        <v>64</v>
      </c>
      <c r="E40" s="64">
        <v>626.3011267720353</v>
      </c>
      <c r="F40" s="66">
        <v>97.10139337795185</v>
      </c>
      <c r="G40" s="96" t="str">
        <f>HYPERLINK("https://i.ytimg.com/vi/LaMdOM4I9Bs/default.jpg")</f>
        <v>https://i.ytimg.com/vi/LaMdOM4I9Bs/default.jpg</v>
      </c>
      <c r="H40" s="63"/>
      <c r="I40" s="67" t="s">
        <v>1740</v>
      </c>
      <c r="J40" s="68"/>
      <c r="K40" s="68" t="s">
        <v>75</v>
      </c>
      <c r="L40" s="67" t="s">
        <v>1838</v>
      </c>
      <c r="M40" s="71">
        <v>314.94009134397953</v>
      </c>
      <c r="N40" s="72">
        <v>8294.51953125</v>
      </c>
      <c r="O40" s="72">
        <v>9194.2978515625</v>
      </c>
      <c r="P40" s="73"/>
      <c r="Q40" s="74"/>
      <c r="R40" s="74"/>
      <c r="S40" s="82"/>
      <c r="T40" s="45">
        <v>10</v>
      </c>
      <c r="U40" s="45">
        <v>1</v>
      </c>
      <c r="V40" s="46">
        <v>88.572764</v>
      </c>
      <c r="W40" s="46">
        <v>0.448087</v>
      </c>
      <c r="X40" s="46">
        <v>0.070527</v>
      </c>
      <c r="Y40" s="46">
        <v>0.012368</v>
      </c>
      <c r="Z40" s="46">
        <v>0.13636363636363635</v>
      </c>
      <c r="AA40" s="46">
        <v>0</v>
      </c>
      <c r="AB40" s="69">
        <v>40</v>
      </c>
      <c r="AC40" s="69"/>
      <c r="AD40" s="70"/>
      <c r="AE40" s="77" t="s">
        <v>1740</v>
      </c>
      <c r="AF40" s="77" t="s">
        <v>1838</v>
      </c>
      <c r="AG40" s="77"/>
      <c r="AH40" s="77" t="s">
        <v>2018</v>
      </c>
      <c r="AI40" s="77" t="s">
        <v>2083</v>
      </c>
      <c r="AJ40" s="77">
        <v>79162</v>
      </c>
      <c r="AK40" s="77">
        <v>233</v>
      </c>
      <c r="AL40" s="77">
        <v>1018</v>
      </c>
      <c r="AM40" s="77">
        <v>0</v>
      </c>
      <c r="AN40" s="77" t="s">
        <v>2181</v>
      </c>
      <c r="AO40" s="98" t="str">
        <f>HYPERLINK("https://www.youtube.com/watch?v=LaMdOM4I9Bs")</f>
        <v>https://www.youtube.com/watch?v=LaMdOM4I9Bs</v>
      </c>
      <c r="AP40" s="77" t="str">
        <f>REPLACE(INDEX(GroupVertices[Group],MATCH("~"&amp;Vertices[[#This Row],[Vertex]],GroupVertices[Vertex],0)),1,1,"")</f>
        <v>5</v>
      </c>
      <c r="AQ40" s="45">
        <v>0</v>
      </c>
      <c r="AR40" s="46">
        <v>0</v>
      </c>
      <c r="AS40" s="45">
        <v>0</v>
      </c>
      <c r="AT40" s="46">
        <v>0</v>
      </c>
      <c r="AU40" s="45">
        <v>0</v>
      </c>
      <c r="AV40" s="46">
        <v>0</v>
      </c>
      <c r="AW40" s="45">
        <v>9</v>
      </c>
      <c r="AX40" s="46">
        <v>75</v>
      </c>
      <c r="AY40" s="45">
        <v>12</v>
      </c>
      <c r="AZ40" s="45"/>
      <c r="BA40" s="45"/>
      <c r="BB40" s="45"/>
      <c r="BC40" s="45"/>
      <c r="BD40" s="45"/>
      <c r="BE40" s="45"/>
      <c r="BF40" s="111" t="s">
        <v>1674</v>
      </c>
      <c r="BG40" s="111" t="s">
        <v>1674</v>
      </c>
      <c r="BH40" s="111" t="s">
        <v>1674</v>
      </c>
      <c r="BI40" s="111" t="s">
        <v>1674</v>
      </c>
      <c r="BJ40" s="2"/>
    </row>
    <row r="41" spans="1:62" ht="41.45" customHeight="1">
      <c r="A41" s="62" t="s">
        <v>265</v>
      </c>
      <c r="C41" s="63"/>
      <c r="D41" s="63" t="s">
        <v>64</v>
      </c>
      <c r="E41" s="64">
        <v>540.8693310740259</v>
      </c>
      <c r="F41" s="66">
        <v>97.12812956336509</v>
      </c>
      <c r="G41" s="96" t="str">
        <f>HYPERLINK("https://i.ytimg.com/vi/zUsYGNwHKxw/default.jpg")</f>
        <v>https://i.ytimg.com/vi/zUsYGNwHKxw/default.jpg</v>
      </c>
      <c r="H41" s="63"/>
      <c r="I41" s="67" t="s">
        <v>1792</v>
      </c>
      <c r="J41" s="68"/>
      <c r="K41" s="68" t="s">
        <v>75</v>
      </c>
      <c r="L41" s="47" t="s">
        <v>1888</v>
      </c>
      <c r="M41" s="71">
        <v>142.79287800419138</v>
      </c>
      <c r="N41" s="72">
        <v>7206.23974609375</v>
      </c>
      <c r="O41" s="72">
        <v>9291.783203125</v>
      </c>
      <c r="P41" s="73"/>
      <c r="Q41" s="74"/>
      <c r="R41" s="74"/>
      <c r="S41" s="82"/>
      <c r="T41" s="45">
        <v>8</v>
      </c>
      <c r="U41" s="45">
        <v>7</v>
      </c>
      <c r="V41" s="46">
        <v>87.755786</v>
      </c>
      <c r="W41" s="46">
        <v>0.485207</v>
      </c>
      <c r="X41" s="46">
        <v>0.123167</v>
      </c>
      <c r="Y41" s="46">
        <v>0.012147</v>
      </c>
      <c r="Z41" s="46">
        <v>0.19523809523809524</v>
      </c>
      <c r="AA41" s="46">
        <v>0</v>
      </c>
      <c r="AB41" s="69">
        <v>41</v>
      </c>
      <c r="AC41" s="69"/>
      <c r="AD41" s="70"/>
      <c r="AE41" s="77" t="s">
        <v>1792</v>
      </c>
      <c r="AF41" s="77" t="s">
        <v>1888</v>
      </c>
      <c r="AG41" s="77" t="s">
        <v>1977</v>
      </c>
      <c r="AH41" s="77" t="s">
        <v>2041</v>
      </c>
      <c r="AI41" s="77" t="s">
        <v>2135</v>
      </c>
      <c r="AJ41" s="77">
        <v>35913</v>
      </c>
      <c r="AK41" s="77">
        <v>60</v>
      </c>
      <c r="AL41" s="77">
        <v>1249</v>
      </c>
      <c r="AM41" s="77">
        <v>0</v>
      </c>
      <c r="AN41" s="77" t="s">
        <v>2181</v>
      </c>
      <c r="AO41" s="98" t="str">
        <f>HYPERLINK("https://www.youtube.com/watch?v=zUsYGNwHKxw")</f>
        <v>https://www.youtube.com/watch?v=zUsYGNwHKxw</v>
      </c>
      <c r="AP41" s="77" t="str">
        <f>REPLACE(INDEX(GroupVertices[Group],MATCH("~"&amp;Vertices[[#This Row],[Vertex]],GroupVertices[Vertex],0)),1,1,"")</f>
        <v>3</v>
      </c>
      <c r="AQ41" s="45">
        <v>4</v>
      </c>
      <c r="AR41" s="46">
        <v>3.6363636363636362</v>
      </c>
      <c r="AS41" s="45">
        <v>1</v>
      </c>
      <c r="AT41" s="46">
        <v>0.9090909090909091</v>
      </c>
      <c r="AU41" s="45">
        <v>0</v>
      </c>
      <c r="AV41" s="46">
        <v>0</v>
      </c>
      <c r="AW41" s="45">
        <v>63</v>
      </c>
      <c r="AX41" s="46">
        <v>57.27272727272727</v>
      </c>
      <c r="AY41" s="45">
        <v>110</v>
      </c>
      <c r="AZ41" s="45"/>
      <c r="BA41" s="45"/>
      <c r="BB41" s="45"/>
      <c r="BC41" s="45"/>
      <c r="BD41" s="45"/>
      <c r="BE41" s="45"/>
      <c r="BF41" s="111" t="s">
        <v>1674</v>
      </c>
      <c r="BG41" s="111" t="s">
        <v>1674</v>
      </c>
      <c r="BH41" s="111" t="s">
        <v>1674</v>
      </c>
      <c r="BI41" s="111" t="s">
        <v>1674</v>
      </c>
      <c r="BJ41" s="2"/>
    </row>
    <row r="42" spans="1:62" ht="41.45" customHeight="1">
      <c r="A42" s="62" t="s">
        <v>240</v>
      </c>
      <c r="C42" s="63"/>
      <c r="D42" s="63" t="s">
        <v>64</v>
      </c>
      <c r="E42" s="64">
        <v>842.7017344182331</v>
      </c>
      <c r="F42" s="66">
        <v>97.16530538129179</v>
      </c>
      <c r="G42" s="96" t="str">
        <f>HYPERLINK("https://i.ytimg.com/vi/X3vMHqIFtnM/default.jpg")</f>
        <v>https://i.ytimg.com/vi/X3vMHqIFtnM/default.jpg</v>
      </c>
      <c r="H42" s="63"/>
      <c r="I42" s="67" t="s">
        <v>1756</v>
      </c>
      <c r="J42" s="68"/>
      <c r="K42" s="68" t="s">
        <v>75</v>
      </c>
      <c r="L42" s="47" t="s">
        <v>1854</v>
      </c>
      <c r="M42" s="71">
        <v>2332.9740013631526</v>
      </c>
      <c r="N42" s="72">
        <v>2194.289306640625</v>
      </c>
      <c r="O42" s="72">
        <v>1070.66162109375</v>
      </c>
      <c r="P42" s="73"/>
      <c r="Q42" s="74"/>
      <c r="R42" s="74"/>
      <c r="S42" s="82"/>
      <c r="T42" s="45">
        <v>7</v>
      </c>
      <c r="U42" s="45">
        <v>3</v>
      </c>
      <c r="V42" s="46">
        <v>86.619804</v>
      </c>
      <c r="W42" s="46">
        <v>0.445652</v>
      </c>
      <c r="X42" s="46">
        <v>0.057123</v>
      </c>
      <c r="Y42" s="46">
        <v>0.011881</v>
      </c>
      <c r="Z42" s="46">
        <v>0.17777777777777778</v>
      </c>
      <c r="AA42" s="46">
        <v>0</v>
      </c>
      <c r="AB42" s="69">
        <v>42</v>
      </c>
      <c r="AC42" s="69"/>
      <c r="AD42" s="70"/>
      <c r="AE42" s="77" t="s">
        <v>1756</v>
      </c>
      <c r="AF42" s="77" t="s">
        <v>1854</v>
      </c>
      <c r="AG42" s="77" t="s">
        <v>1947</v>
      </c>
      <c r="AH42" s="77" t="s">
        <v>2031</v>
      </c>
      <c r="AI42" s="77" t="s">
        <v>2099</v>
      </c>
      <c r="AJ42" s="77">
        <v>586158</v>
      </c>
      <c r="AK42" s="77">
        <v>160</v>
      </c>
      <c r="AL42" s="77">
        <v>2931</v>
      </c>
      <c r="AM42" s="77">
        <v>0</v>
      </c>
      <c r="AN42" s="77" t="s">
        <v>2181</v>
      </c>
      <c r="AO42" s="98" t="str">
        <f>HYPERLINK("https://www.youtube.com/watch?v=X3vMHqIFtnM")</f>
        <v>https://www.youtube.com/watch?v=X3vMHqIFtnM</v>
      </c>
      <c r="AP42" s="77" t="str">
        <f>REPLACE(INDEX(GroupVertices[Group],MATCH("~"&amp;Vertices[[#This Row],[Vertex]],GroupVertices[Vertex],0)),1,1,"")</f>
        <v>2</v>
      </c>
      <c r="AQ42" s="45">
        <v>1</v>
      </c>
      <c r="AR42" s="46">
        <v>2.7777777777777777</v>
      </c>
      <c r="AS42" s="45">
        <v>0</v>
      </c>
      <c r="AT42" s="46">
        <v>0</v>
      </c>
      <c r="AU42" s="45">
        <v>0</v>
      </c>
      <c r="AV42" s="46">
        <v>0</v>
      </c>
      <c r="AW42" s="45">
        <v>20</v>
      </c>
      <c r="AX42" s="46">
        <v>55.55555555555556</v>
      </c>
      <c r="AY42" s="45">
        <v>36</v>
      </c>
      <c r="AZ42" s="45"/>
      <c r="BA42" s="45"/>
      <c r="BB42" s="45"/>
      <c r="BC42" s="45"/>
      <c r="BD42" s="45"/>
      <c r="BE42" s="45"/>
      <c r="BF42" s="111" t="s">
        <v>1674</v>
      </c>
      <c r="BG42" s="111" t="s">
        <v>1674</v>
      </c>
      <c r="BH42" s="111" t="s">
        <v>1674</v>
      </c>
      <c r="BI42" s="111" t="s">
        <v>1674</v>
      </c>
      <c r="BJ42" s="2"/>
    </row>
    <row r="43" spans="1:62" ht="41.45" customHeight="1">
      <c r="A43" s="62" t="s">
        <v>242</v>
      </c>
      <c r="C43" s="63"/>
      <c r="D43" s="63" t="s">
        <v>64</v>
      </c>
      <c r="E43" s="64">
        <v>649.3349047783867</v>
      </c>
      <c r="F43" s="66">
        <v>97.28282229458524</v>
      </c>
      <c r="G43" s="96" t="str">
        <f>HYPERLINK("https://i.ytimg.com/vi/LlTpLD0whIo/default.jpg")</f>
        <v>https://i.ytimg.com/vi/LlTpLD0whIo/default.jpg</v>
      </c>
      <c r="H43" s="63"/>
      <c r="I43" s="67" t="s">
        <v>1770</v>
      </c>
      <c r="J43" s="68"/>
      <c r="K43" s="68" t="s">
        <v>75</v>
      </c>
      <c r="L43" s="47" t="s">
        <v>1866</v>
      </c>
      <c r="M43" s="71">
        <v>389.7790912102122</v>
      </c>
      <c r="N43" s="72">
        <v>8568.736328125</v>
      </c>
      <c r="O43" s="72">
        <v>8666.8837890625</v>
      </c>
      <c r="P43" s="73"/>
      <c r="Q43" s="74"/>
      <c r="R43" s="74"/>
      <c r="S43" s="82"/>
      <c r="T43" s="45">
        <v>12</v>
      </c>
      <c r="U43" s="45">
        <v>3</v>
      </c>
      <c r="V43" s="46">
        <v>83.028838</v>
      </c>
      <c r="W43" s="46">
        <v>0.476744</v>
      </c>
      <c r="X43" s="46">
        <v>0.11263</v>
      </c>
      <c r="Y43" s="46">
        <v>0.012323</v>
      </c>
      <c r="Z43" s="46">
        <v>0.1761904761904762</v>
      </c>
      <c r="AA43" s="46">
        <v>0</v>
      </c>
      <c r="AB43" s="69">
        <v>43</v>
      </c>
      <c r="AC43" s="69"/>
      <c r="AD43" s="70"/>
      <c r="AE43" s="77" t="s">
        <v>1770</v>
      </c>
      <c r="AF43" s="77" t="s">
        <v>1866</v>
      </c>
      <c r="AG43" s="77" t="s">
        <v>1959</v>
      </c>
      <c r="AH43" s="77" t="s">
        <v>2043</v>
      </c>
      <c r="AI43" s="77" t="s">
        <v>2113</v>
      </c>
      <c r="AJ43" s="77">
        <v>97964</v>
      </c>
      <c r="AK43" s="77">
        <v>443</v>
      </c>
      <c r="AL43" s="77">
        <v>4168</v>
      </c>
      <c r="AM43" s="77">
        <v>0</v>
      </c>
      <c r="AN43" s="77" t="s">
        <v>2181</v>
      </c>
      <c r="AO43" s="98" t="str">
        <f>HYPERLINK("https://www.youtube.com/watch?v=LlTpLD0whIo")</f>
        <v>https://www.youtube.com/watch?v=LlTpLD0whIo</v>
      </c>
      <c r="AP43" s="77" t="str">
        <f>REPLACE(INDEX(GroupVertices[Group],MATCH("~"&amp;Vertices[[#This Row],[Vertex]],GroupVertices[Vertex],0)),1,1,"")</f>
        <v>5</v>
      </c>
      <c r="AQ43" s="45">
        <v>6</v>
      </c>
      <c r="AR43" s="46">
        <v>2.2641509433962264</v>
      </c>
      <c r="AS43" s="45">
        <v>2</v>
      </c>
      <c r="AT43" s="46">
        <v>0.7547169811320755</v>
      </c>
      <c r="AU43" s="45">
        <v>0</v>
      </c>
      <c r="AV43" s="46">
        <v>0</v>
      </c>
      <c r="AW43" s="45">
        <v>201</v>
      </c>
      <c r="AX43" s="46">
        <v>75.84905660377359</v>
      </c>
      <c r="AY43" s="45">
        <v>265</v>
      </c>
      <c r="AZ43" s="45"/>
      <c r="BA43" s="45"/>
      <c r="BB43" s="45"/>
      <c r="BC43" s="45"/>
      <c r="BD43" s="45"/>
      <c r="BE43" s="45"/>
      <c r="BF43" s="111" t="s">
        <v>1674</v>
      </c>
      <c r="BG43" s="111" t="s">
        <v>1674</v>
      </c>
      <c r="BH43" s="111" t="s">
        <v>1674</v>
      </c>
      <c r="BI43" s="111" t="s">
        <v>1674</v>
      </c>
      <c r="BJ43" s="2"/>
    </row>
    <row r="44" spans="1:62" ht="41.45" customHeight="1">
      <c r="A44" s="62" t="s">
        <v>259</v>
      </c>
      <c r="C44" s="63"/>
      <c r="D44" s="63" t="s">
        <v>64</v>
      </c>
      <c r="E44" s="64">
        <v>560.6997841769601</v>
      </c>
      <c r="F44" s="66">
        <v>97.52390697411822</v>
      </c>
      <c r="G44" s="96" t="str">
        <f>HYPERLINK("https://i.ytimg.com/vi/0sqBMrCRQFY/default.jpg")</f>
        <v>https://i.ytimg.com/vi/0sqBMrCRQFY/default.jpg</v>
      </c>
      <c r="H44" s="63"/>
      <c r="I44" s="67" t="s">
        <v>1783</v>
      </c>
      <c r="J44" s="68"/>
      <c r="K44" s="68" t="s">
        <v>75</v>
      </c>
      <c r="L44" s="47" t="s">
        <v>1879</v>
      </c>
      <c r="M44" s="71">
        <v>171.57894581785985</v>
      </c>
      <c r="N44" s="72">
        <v>2310.2099609375</v>
      </c>
      <c r="O44" s="72">
        <v>8108.68896484375</v>
      </c>
      <c r="P44" s="73"/>
      <c r="Q44" s="74"/>
      <c r="R44" s="74"/>
      <c r="S44" s="82"/>
      <c r="T44" s="45">
        <v>5</v>
      </c>
      <c r="U44" s="45">
        <v>10</v>
      </c>
      <c r="V44" s="46">
        <v>75.66201</v>
      </c>
      <c r="W44" s="46">
        <v>0.479532</v>
      </c>
      <c r="X44" s="46">
        <v>0.138847</v>
      </c>
      <c r="Y44" s="46">
        <v>0.012313</v>
      </c>
      <c r="Z44" s="46">
        <v>0.23333333333333334</v>
      </c>
      <c r="AA44" s="46">
        <v>0</v>
      </c>
      <c r="AB44" s="69">
        <v>44</v>
      </c>
      <c r="AC44" s="69"/>
      <c r="AD44" s="70"/>
      <c r="AE44" s="77" t="s">
        <v>1783</v>
      </c>
      <c r="AF44" s="77" t="s">
        <v>1879</v>
      </c>
      <c r="AG44" s="77" t="s">
        <v>1962</v>
      </c>
      <c r="AH44" s="77" t="s">
        <v>2039</v>
      </c>
      <c r="AI44" s="77" t="s">
        <v>2126</v>
      </c>
      <c r="AJ44" s="77">
        <v>43145</v>
      </c>
      <c r="AK44" s="77">
        <v>85</v>
      </c>
      <c r="AL44" s="77">
        <v>604</v>
      </c>
      <c r="AM44" s="77">
        <v>0</v>
      </c>
      <c r="AN44" s="77" t="s">
        <v>2181</v>
      </c>
      <c r="AO44" s="98" t="str">
        <f>HYPERLINK("https://www.youtube.com/watch?v=0sqBMrCRQFY")</f>
        <v>https://www.youtube.com/watch?v=0sqBMrCRQFY</v>
      </c>
      <c r="AP44" s="77" t="str">
        <f>REPLACE(INDEX(GroupVertices[Group],MATCH("~"&amp;Vertices[[#This Row],[Vertex]],GroupVertices[Vertex],0)),1,1,"")</f>
        <v>1</v>
      </c>
      <c r="AQ44" s="45">
        <v>0</v>
      </c>
      <c r="AR44" s="46">
        <v>0</v>
      </c>
      <c r="AS44" s="45">
        <v>1</v>
      </c>
      <c r="AT44" s="46">
        <v>1.5151515151515151</v>
      </c>
      <c r="AU44" s="45">
        <v>0</v>
      </c>
      <c r="AV44" s="46">
        <v>0</v>
      </c>
      <c r="AW44" s="45">
        <v>42</v>
      </c>
      <c r="AX44" s="46">
        <v>63.63636363636363</v>
      </c>
      <c r="AY44" s="45">
        <v>66</v>
      </c>
      <c r="AZ44" s="45"/>
      <c r="BA44" s="45"/>
      <c r="BB44" s="45"/>
      <c r="BC44" s="45"/>
      <c r="BD44" s="45"/>
      <c r="BE44" s="45"/>
      <c r="BF44" s="111" t="s">
        <v>1674</v>
      </c>
      <c r="BG44" s="111" t="s">
        <v>1674</v>
      </c>
      <c r="BH44" s="111" t="s">
        <v>1674</v>
      </c>
      <c r="BI44" s="111" t="s">
        <v>1674</v>
      </c>
      <c r="BJ44" s="2"/>
    </row>
    <row r="45" spans="1:62" ht="41.45" customHeight="1">
      <c r="A45" s="62" t="s">
        <v>261</v>
      </c>
      <c r="C45" s="63"/>
      <c r="D45" s="63" t="s">
        <v>64</v>
      </c>
      <c r="E45" s="64">
        <v>510.327952200931</v>
      </c>
      <c r="F45" s="66">
        <v>97.95341788350048</v>
      </c>
      <c r="G45" s="96" t="str">
        <f>HYPERLINK("https://i.ytimg.com/vi/7nI3V7z6vZw/default.jpg")</f>
        <v>https://i.ytimg.com/vi/7nI3V7z6vZw/default.jpg</v>
      </c>
      <c r="H45" s="63"/>
      <c r="I45" s="67" t="s">
        <v>1785</v>
      </c>
      <c r="J45" s="68"/>
      <c r="K45" s="68" t="s">
        <v>75</v>
      </c>
      <c r="L45" s="47" t="s">
        <v>1881</v>
      </c>
      <c r="M45" s="71">
        <v>107.60636812133335</v>
      </c>
      <c r="N45" s="72">
        <v>697.899169921875</v>
      </c>
      <c r="O45" s="72">
        <v>1171.122314453125</v>
      </c>
      <c r="P45" s="73"/>
      <c r="Q45" s="74"/>
      <c r="R45" s="74"/>
      <c r="S45" s="82"/>
      <c r="T45" s="45">
        <v>3</v>
      </c>
      <c r="U45" s="45">
        <v>6</v>
      </c>
      <c r="V45" s="46">
        <v>62.537439</v>
      </c>
      <c r="W45" s="46">
        <v>0.427083</v>
      </c>
      <c r="X45" s="46">
        <v>0.052708</v>
      </c>
      <c r="Y45" s="46">
        <v>0.012105</v>
      </c>
      <c r="Z45" s="46">
        <v>0.16666666666666666</v>
      </c>
      <c r="AA45" s="46">
        <v>0</v>
      </c>
      <c r="AB45" s="69">
        <v>45</v>
      </c>
      <c r="AC45" s="69"/>
      <c r="AD45" s="70"/>
      <c r="AE45" s="77" t="s">
        <v>1785</v>
      </c>
      <c r="AF45" s="77" t="s">
        <v>1881</v>
      </c>
      <c r="AG45" s="77" t="s">
        <v>1970</v>
      </c>
      <c r="AH45" s="77" t="s">
        <v>2049</v>
      </c>
      <c r="AI45" s="77" t="s">
        <v>2128</v>
      </c>
      <c r="AJ45" s="77">
        <v>27073</v>
      </c>
      <c r="AK45" s="77">
        <v>61</v>
      </c>
      <c r="AL45" s="77">
        <v>986</v>
      </c>
      <c r="AM45" s="77">
        <v>0</v>
      </c>
      <c r="AN45" s="77" t="s">
        <v>2181</v>
      </c>
      <c r="AO45" s="98" t="str">
        <f>HYPERLINK("https://www.youtube.com/watch?v=7nI3V7z6vZw")</f>
        <v>https://www.youtube.com/watch?v=7nI3V7z6vZw</v>
      </c>
      <c r="AP45" s="77" t="str">
        <f>REPLACE(INDEX(GroupVertices[Group],MATCH("~"&amp;Vertices[[#This Row],[Vertex]],GroupVertices[Vertex],0)),1,1,"")</f>
        <v>2</v>
      </c>
      <c r="AQ45" s="45">
        <v>1</v>
      </c>
      <c r="AR45" s="46">
        <v>0.8</v>
      </c>
      <c r="AS45" s="45">
        <v>0</v>
      </c>
      <c r="AT45" s="46">
        <v>0</v>
      </c>
      <c r="AU45" s="45">
        <v>0</v>
      </c>
      <c r="AV45" s="46">
        <v>0</v>
      </c>
      <c r="AW45" s="45">
        <v>81</v>
      </c>
      <c r="AX45" s="46">
        <v>64.8</v>
      </c>
      <c r="AY45" s="45">
        <v>125</v>
      </c>
      <c r="AZ45" s="45"/>
      <c r="BA45" s="45"/>
      <c r="BB45" s="45"/>
      <c r="BC45" s="45"/>
      <c r="BD45" s="45"/>
      <c r="BE45" s="45"/>
      <c r="BF45" s="111" t="s">
        <v>1674</v>
      </c>
      <c r="BG45" s="111" t="s">
        <v>1674</v>
      </c>
      <c r="BH45" s="111" t="s">
        <v>1674</v>
      </c>
      <c r="BI45" s="111" t="s">
        <v>1674</v>
      </c>
      <c r="BJ45" s="2"/>
    </row>
    <row r="46" spans="1:62" ht="41.45" customHeight="1">
      <c r="A46" s="62" t="s">
        <v>239</v>
      </c>
      <c r="C46" s="63"/>
      <c r="D46" s="63" t="s">
        <v>64</v>
      </c>
      <c r="E46" s="64">
        <v>323.142796570294</v>
      </c>
      <c r="F46" s="66">
        <v>98.40902656513795</v>
      </c>
      <c r="G46" s="96" t="str">
        <f>HYPERLINK("https://i.ytimg.com/vi/BXQySIaYgb0/default.jpg")</f>
        <v>https://i.ytimg.com/vi/BXQySIaYgb0/default.jpg</v>
      </c>
      <c r="H46" s="63"/>
      <c r="I46" s="67" t="s">
        <v>1769</v>
      </c>
      <c r="J46" s="68"/>
      <c r="K46" s="68" t="s">
        <v>75</v>
      </c>
      <c r="L46" s="47" t="s">
        <v>1865</v>
      </c>
      <c r="M46" s="71">
        <v>18.91566526954118</v>
      </c>
      <c r="N46" s="72">
        <v>8791.10546875</v>
      </c>
      <c r="O46" s="72">
        <v>8175.8974609375</v>
      </c>
      <c r="P46" s="73"/>
      <c r="Q46" s="74"/>
      <c r="R46" s="74"/>
      <c r="S46" s="82"/>
      <c r="T46" s="45">
        <v>7</v>
      </c>
      <c r="U46" s="45">
        <v>2</v>
      </c>
      <c r="V46" s="46">
        <v>48.615398</v>
      </c>
      <c r="W46" s="46">
        <v>0.44086</v>
      </c>
      <c r="X46" s="46">
        <v>0.059298</v>
      </c>
      <c r="Y46" s="46">
        <v>0.01152</v>
      </c>
      <c r="Z46" s="46">
        <v>0.16666666666666666</v>
      </c>
      <c r="AA46" s="46">
        <v>0</v>
      </c>
      <c r="AB46" s="69">
        <v>46</v>
      </c>
      <c r="AC46" s="69"/>
      <c r="AD46" s="70"/>
      <c r="AE46" s="77" t="s">
        <v>1769</v>
      </c>
      <c r="AF46" s="77" t="s">
        <v>1865</v>
      </c>
      <c r="AG46" s="77" t="s">
        <v>1958</v>
      </c>
      <c r="AH46" s="77" t="s">
        <v>2042</v>
      </c>
      <c r="AI46" s="77" t="s">
        <v>2112</v>
      </c>
      <c r="AJ46" s="77">
        <v>4791</v>
      </c>
      <c r="AK46" s="77">
        <v>59</v>
      </c>
      <c r="AL46" s="77">
        <v>271</v>
      </c>
      <c r="AM46" s="77">
        <v>0</v>
      </c>
      <c r="AN46" s="77" t="s">
        <v>2181</v>
      </c>
      <c r="AO46" s="98" t="str">
        <f>HYPERLINK("https://www.youtube.com/watch?v=BXQySIaYgb0")</f>
        <v>https://www.youtube.com/watch?v=BXQySIaYgb0</v>
      </c>
      <c r="AP46" s="77" t="str">
        <f>REPLACE(INDEX(GroupVertices[Group],MATCH("~"&amp;Vertices[[#This Row],[Vertex]],GroupVertices[Vertex],0)),1,1,"")</f>
        <v>5</v>
      </c>
      <c r="AQ46" s="45">
        <v>8</v>
      </c>
      <c r="AR46" s="46">
        <v>6.2015503875969</v>
      </c>
      <c r="AS46" s="45">
        <v>2</v>
      </c>
      <c r="AT46" s="46">
        <v>1.550387596899225</v>
      </c>
      <c r="AU46" s="45">
        <v>0</v>
      </c>
      <c r="AV46" s="46">
        <v>0</v>
      </c>
      <c r="AW46" s="45">
        <v>83</v>
      </c>
      <c r="AX46" s="46">
        <v>64.34108527131782</v>
      </c>
      <c r="AY46" s="45">
        <v>129</v>
      </c>
      <c r="AZ46" s="45"/>
      <c r="BA46" s="45"/>
      <c r="BB46" s="45"/>
      <c r="BC46" s="45"/>
      <c r="BD46" s="45"/>
      <c r="BE46" s="45"/>
      <c r="BF46" s="111" t="s">
        <v>1674</v>
      </c>
      <c r="BG46" s="111" t="s">
        <v>1674</v>
      </c>
      <c r="BH46" s="111" t="s">
        <v>1674</v>
      </c>
      <c r="BI46" s="111" t="s">
        <v>1674</v>
      </c>
      <c r="BJ46" s="2"/>
    </row>
    <row r="47" spans="1:62" ht="41.45" customHeight="1">
      <c r="A47" s="62" t="s">
        <v>257</v>
      </c>
      <c r="C47" s="63"/>
      <c r="D47" s="63" t="s">
        <v>64</v>
      </c>
      <c r="E47" s="64">
        <v>534.9972628602758</v>
      </c>
      <c r="F47" s="66">
        <v>98.50620287859734</v>
      </c>
      <c r="G47" s="96" t="str">
        <f>HYPERLINK("https://i.ytimg.com/vi/ju9bTrePzUY/default.jpg")</f>
        <v>https://i.ytimg.com/vi/ju9bTrePzUY/default.jpg</v>
      </c>
      <c r="H47" s="63"/>
      <c r="I47" s="67" t="s">
        <v>1781</v>
      </c>
      <c r="J47" s="68"/>
      <c r="K47" s="68" t="s">
        <v>75</v>
      </c>
      <c r="L47" s="47" t="s">
        <v>1877</v>
      </c>
      <c r="M47" s="71">
        <v>135.23414697845072</v>
      </c>
      <c r="N47" s="72">
        <v>928.870361328125</v>
      </c>
      <c r="O47" s="72">
        <v>6953.646484375</v>
      </c>
      <c r="P47" s="73"/>
      <c r="Q47" s="74"/>
      <c r="R47" s="74"/>
      <c r="S47" s="82"/>
      <c r="T47" s="45">
        <v>10</v>
      </c>
      <c r="U47" s="45">
        <v>6</v>
      </c>
      <c r="V47" s="46">
        <v>45.64598</v>
      </c>
      <c r="W47" s="46">
        <v>0.485207</v>
      </c>
      <c r="X47" s="46">
        <v>0.151563</v>
      </c>
      <c r="Y47" s="46">
        <v>0.012189</v>
      </c>
      <c r="Z47" s="46">
        <v>0.2875</v>
      </c>
      <c r="AA47" s="46">
        <v>0</v>
      </c>
      <c r="AB47" s="69">
        <v>47</v>
      </c>
      <c r="AC47" s="69"/>
      <c r="AD47" s="70"/>
      <c r="AE47" s="77" t="s">
        <v>1781</v>
      </c>
      <c r="AF47" s="77" t="s">
        <v>1877</v>
      </c>
      <c r="AG47" s="77" t="s">
        <v>1967</v>
      </c>
      <c r="AH47" s="77" t="s">
        <v>2047</v>
      </c>
      <c r="AI47" s="77" t="s">
        <v>2124</v>
      </c>
      <c r="AJ47" s="77">
        <v>34014</v>
      </c>
      <c r="AK47" s="77">
        <v>18</v>
      </c>
      <c r="AL47" s="77">
        <v>206</v>
      </c>
      <c r="AM47" s="77">
        <v>0</v>
      </c>
      <c r="AN47" s="77" t="s">
        <v>2181</v>
      </c>
      <c r="AO47" s="98" t="str">
        <f>HYPERLINK("https://www.youtube.com/watch?v=ju9bTrePzUY")</f>
        <v>https://www.youtube.com/watch?v=ju9bTrePzUY</v>
      </c>
      <c r="AP47" s="77" t="str">
        <f>REPLACE(INDEX(GroupVertices[Group],MATCH("~"&amp;Vertices[[#This Row],[Vertex]],GroupVertices[Vertex],0)),1,1,"")</f>
        <v>1</v>
      </c>
      <c r="AQ47" s="45">
        <v>5</v>
      </c>
      <c r="AR47" s="46">
        <v>2.336448598130841</v>
      </c>
      <c r="AS47" s="45">
        <v>3</v>
      </c>
      <c r="AT47" s="46">
        <v>1.4018691588785046</v>
      </c>
      <c r="AU47" s="45">
        <v>0</v>
      </c>
      <c r="AV47" s="46">
        <v>0</v>
      </c>
      <c r="AW47" s="45">
        <v>134</v>
      </c>
      <c r="AX47" s="46">
        <v>62.61682242990654</v>
      </c>
      <c r="AY47" s="45">
        <v>214</v>
      </c>
      <c r="AZ47" s="45"/>
      <c r="BA47" s="45"/>
      <c r="BB47" s="45"/>
      <c r="BC47" s="45"/>
      <c r="BD47" s="45"/>
      <c r="BE47" s="45"/>
      <c r="BF47" s="111" t="s">
        <v>1674</v>
      </c>
      <c r="BG47" s="111" t="s">
        <v>1674</v>
      </c>
      <c r="BH47" s="111" t="s">
        <v>1674</v>
      </c>
      <c r="BI47" s="111" t="s">
        <v>1674</v>
      </c>
      <c r="BJ47" s="2"/>
    </row>
    <row r="48" spans="1:62" ht="41.45" customHeight="1">
      <c r="A48" s="62" t="s">
        <v>263</v>
      </c>
      <c r="C48" s="63"/>
      <c r="D48" s="63" t="s">
        <v>64</v>
      </c>
      <c r="E48" s="64">
        <v>487.3636040793704</v>
      </c>
      <c r="F48" s="66">
        <v>98.82852281808174</v>
      </c>
      <c r="G48" s="96" t="str">
        <f>HYPERLINK("https://i.ytimg.com/vi/5zmf9MMcyBE/default.jpg")</f>
        <v>https://i.ytimg.com/vi/5zmf9MMcyBE/default.jpg</v>
      </c>
      <c r="H48" s="63"/>
      <c r="I48" s="67" t="s">
        <v>1790</v>
      </c>
      <c r="J48" s="68"/>
      <c r="K48" s="68" t="s">
        <v>75</v>
      </c>
      <c r="L48" s="47" t="s">
        <v>1886</v>
      </c>
      <c r="M48" s="71">
        <v>86.98006787099733</v>
      </c>
      <c r="N48" s="72">
        <v>6864.45654296875</v>
      </c>
      <c r="O48" s="72">
        <v>7899.0048828125</v>
      </c>
      <c r="P48" s="73"/>
      <c r="Q48" s="74"/>
      <c r="R48" s="74"/>
      <c r="S48" s="82"/>
      <c r="T48" s="45">
        <v>7</v>
      </c>
      <c r="U48" s="45">
        <v>5</v>
      </c>
      <c r="V48" s="46">
        <v>35.796845</v>
      </c>
      <c r="W48" s="46">
        <v>0.445652</v>
      </c>
      <c r="X48" s="46">
        <v>0.08697</v>
      </c>
      <c r="Y48" s="46">
        <v>0.011968</v>
      </c>
      <c r="Z48" s="46">
        <v>0.25</v>
      </c>
      <c r="AA48" s="46">
        <v>0</v>
      </c>
      <c r="AB48" s="69">
        <v>48</v>
      </c>
      <c r="AC48" s="69"/>
      <c r="AD48" s="70"/>
      <c r="AE48" s="77" t="s">
        <v>1790</v>
      </c>
      <c r="AF48" s="77" t="s">
        <v>1886</v>
      </c>
      <c r="AG48" s="77" t="s">
        <v>1975</v>
      </c>
      <c r="AH48" s="77" t="s">
        <v>2041</v>
      </c>
      <c r="AI48" s="77" t="s">
        <v>2133</v>
      </c>
      <c r="AJ48" s="77">
        <v>21891</v>
      </c>
      <c r="AK48" s="77">
        <v>27</v>
      </c>
      <c r="AL48" s="77">
        <v>731</v>
      </c>
      <c r="AM48" s="77">
        <v>0</v>
      </c>
      <c r="AN48" s="77" t="s">
        <v>2181</v>
      </c>
      <c r="AO48" s="98" t="str">
        <f>HYPERLINK("https://www.youtube.com/watch?v=5zmf9MMcyBE")</f>
        <v>https://www.youtube.com/watch?v=5zmf9MMcyBE</v>
      </c>
      <c r="AP48" s="77" t="str">
        <f>REPLACE(INDEX(GroupVertices[Group],MATCH("~"&amp;Vertices[[#This Row],[Vertex]],GroupVertices[Vertex],0)),1,1,"")</f>
        <v>3</v>
      </c>
      <c r="AQ48" s="45">
        <v>1</v>
      </c>
      <c r="AR48" s="46">
        <v>1.7241379310344827</v>
      </c>
      <c r="AS48" s="45">
        <v>0</v>
      </c>
      <c r="AT48" s="46">
        <v>0</v>
      </c>
      <c r="AU48" s="45">
        <v>0</v>
      </c>
      <c r="AV48" s="46">
        <v>0</v>
      </c>
      <c r="AW48" s="45">
        <v>37</v>
      </c>
      <c r="AX48" s="46">
        <v>63.793103448275865</v>
      </c>
      <c r="AY48" s="45">
        <v>58</v>
      </c>
      <c r="AZ48" s="45"/>
      <c r="BA48" s="45"/>
      <c r="BB48" s="45"/>
      <c r="BC48" s="45"/>
      <c r="BD48" s="45"/>
      <c r="BE48" s="45"/>
      <c r="BF48" s="111" t="s">
        <v>1674</v>
      </c>
      <c r="BG48" s="111" t="s">
        <v>1674</v>
      </c>
      <c r="BH48" s="111" t="s">
        <v>1674</v>
      </c>
      <c r="BI48" s="111" t="s">
        <v>1674</v>
      </c>
      <c r="BJ48" s="2"/>
    </row>
    <row r="49" spans="1:62" ht="41.45" customHeight="1">
      <c r="A49" s="62" t="s">
        <v>278</v>
      </c>
      <c r="C49" s="63"/>
      <c r="D49" s="63" t="s">
        <v>64</v>
      </c>
      <c r="E49" s="64">
        <v>492.0782840984778</v>
      </c>
      <c r="F49" s="66">
        <v>99.0052140336237</v>
      </c>
      <c r="G49" s="96" t="str">
        <f>HYPERLINK("https://i.ytimg.com/vi/L7l5MSpv9eE/default.jpg")</f>
        <v>https://i.ytimg.com/vi/L7l5MSpv9eE/default.jpg</v>
      </c>
      <c r="H49" s="63"/>
      <c r="I49" s="67" t="s">
        <v>1807</v>
      </c>
      <c r="J49" s="68"/>
      <c r="K49" s="68" t="s">
        <v>75</v>
      </c>
      <c r="L49" s="47" t="s">
        <v>1903</v>
      </c>
      <c r="M49" s="71">
        <v>90.86491330602782</v>
      </c>
      <c r="N49" s="72">
        <v>2401.380859375</v>
      </c>
      <c r="O49" s="72">
        <v>8856.6630859375</v>
      </c>
      <c r="P49" s="73"/>
      <c r="Q49" s="74"/>
      <c r="R49" s="74"/>
      <c r="S49" s="82"/>
      <c r="T49" s="45">
        <v>0</v>
      </c>
      <c r="U49" s="45">
        <v>11</v>
      </c>
      <c r="V49" s="46">
        <v>30.397689</v>
      </c>
      <c r="W49" s="46">
        <v>0.450549</v>
      </c>
      <c r="X49" s="46">
        <v>0.098464</v>
      </c>
      <c r="Y49" s="46">
        <v>0.011884</v>
      </c>
      <c r="Z49" s="46">
        <v>0.24545454545454545</v>
      </c>
      <c r="AA49" s="46">
        <v>0</v>
      </c>
      <c r="AB49" s="69">
        <v>49</v>
      </c>
      <c r="AC49" s="69"/>
      <c r="AD49" s="70"/>
      <c r="AE49" s="77" t="s">
        <v>1807</v>
      </c>
      <c r="AF49" s="77" t="s">
        <v>1903</v>
      </c>
      <c r="AG49" s="77" t="s">
        <v>1990</v>
      </c>
      <c r="AH49" s="77" t="s">
        <v>2039</v>
      </c>
      <c r="AI49" s="77" t="s">
        <v>2150</v>
      </c>
      <c r="AJ49" s="77">
        <v>22867</v>
      </c>
      <c r="AK49" s="77">
        <v>40</v>
      </c>
      <c r="AL49" s="77">
        <v>635</v>
      </c>
      <c r="AM49" s="77">
        <v>0</v>
      </c>
      <c r="AN49" s="77" t="s">
        <v>2181</v>
      </c>
      <c r="AO49" s="98" t="str">
        <f>HYPERLINK("https://www.youtube.com/watch?v=L7l5MSpv9eE")</f>
        <v>https://www.youtube.com/watch?v=L7l5MSpv9eE</v>
      </c>
      <c r="AP49" s="77" t="str">
        <f>REPLACE(INDEX(GroupVertices[Group],MATCH("~"&amp;Vertices[[#This Row],[Vertex]],GroupVertices[Vertex],0)),1,1,"")</f>
        <v>1</v>
      </c>
      <c r="AQ49" s="45">
        <v>3</v>
      </c>
      <c r="AR49" s="46">
        <v>4.615384615384615</v>
      </c>
      <c r="AS49" s="45">
        <v>1</v>
      </c>
      <c r="AT49" s="46">
        <v>1.5384615384615385</v>
      </c>
      <c r="AU49" s="45">
        <v>0</v>
      </c>
      <c r="AV49" s="46">
        <v>0</v>
      </c>
      <c r="AW49" s="45">
        <v>40</v>
      </c>
      <c r="AX49" s="46">
        <v>61.53846153846154</v>
      </c>
      <c r="AY49" s="45">
        <v>65</v>
      </c>
      <c r="AZ49" s="45"/>
      <c r="BA49" s="45"/>
      <c r="BB49" s="45"/>
      <c r="BC49" s="45"/>
      <c r="BD49" s="45"/>
      <c r="BE49" s="45"/>
      <c r="BF49" s="111" t="s">
        <v>1674</v>
      </c>
      <c r="BG49" s="111" t="s">
        <v>1674</v>
      </c>
      <c r="BH49" s="111" t="s">
        <v>1674</v>
      </c>
      <c r="BI49" s="111" t="s">
        <v>1674</v>
      </c>
      <c r="BJ49" s="2"/>
    </row>
    <row r="50" spans="1:62" ht="41.45" customHeight="1">
      <c r="A50" s="62" t="s">
        <v>303</v>
      </c>
      <c r="C50" s="63"/>
      <c r="D50" s="63" t="s">
        <v>64</v>
      </c>
      <c r="E50" s="64">
        <v>448.0847685718812</v>
      </c>
      <c r="F50" s="66">
        <v>99.05028584549898</v>
      </c>
      <c r="G50" s="96" t="str">
        <f>HYPERLINK("https://i.ytimg.com/vi/TyWyVD6M7YQ/default.jpg")</f>
        <v>https://i.ytimg.com/vi/TyWyVD6M7YQ/default.jpg</v>
      </c>
      <c r="H50" s="63"/>
      <c r="I50" s="67" t="s">
        <v>1811</v>
      </c>
      <c r="J50" s="68"/>
      <c r="K50" s="68" t="s">
        <v>75</v>
      </c>
      <c r="L50" s="47" t="s">
        <v>1907</v>
      </c>
      <c r="M50" s="71">
        <v>60.43097048200829</v>
      </c>
      <c r="N50" s="72">
        <v>6916.75830078125</v>
      </c>
      <c r="O50" s="72">
        <v>8864.3564453125</v>
      </c>
      <c r="P50" s="73"/>
      <c r="Q50" s="74"/>
      <c r="R50" s="74"/>
      <c r="S50" s="82"/>
      <c r="T50" s="45">
        <v>10</v>
      </c>
      <c r="U50" s="45">
        <v>0</v>
      </c>
      <c r="V50" s="46">
        <v>29.020429</v>
      </c>
      <c r="W50" s="46">
        <v>0.429319</v>
      </c>
      <c r="X50" s="46">
        <v>0.066152</v>
      </c>
      <c r="Y50" s="46">
        <v>0.011699</v>
      </c>
      <c r="Z50" s="46">
        <v>0.23333333333333334</v>
      </c>
      <c r="AA50" s="46">
        <v>0</v>
      </c>
      <c r="AB50" s="69">
        <v>50</v>
      </c>
      <c r="AC50" s="69"/>
      <c r="AD50" s="70"/>
      <c r="AE50" s="77" t="s">
        <v>1811</v>
      </c>
      <c r="AF50" s="77" t="s">
        <v>1907</v>
      </c>
      <c r="AG50" s="77" t="s">
        <v>1994</v>
      </c>
      <c r="AH50" s="77" t="s">
        <v>2027</v>
      </c>
      <c r="AI50" s="77" t="s">
        <v>2154</v>
      </c>
      <c r="AJ50" s="77">
        <v>15221</v>
      </c>
      <c r="AK50" s="77">
        <v>30</v>
      </c>
      <c r="AL50" s="77">
        <v>523</v>
      </c>
      <c r="AM50" s="77">
        <v>0</v>
      </c>
      <c r="AN50" s="77" t="s">
        <v>2181</v>
      </c>
      <c r="AO50" s="98" t="str">
        <f>HYPERLINK("https://www.youtube.com/watch?v=TyWyVD6M7YQ")</f>
        <v>https://www.youtube.com/watch?v=TyWyVD6M7YQ</v>
      </c>
      <c r="AP50" s="77" t="str">
        <f>REPLACE(INDEX(GroupVertices[Group],MATCH("~"&amp;Vertices[[#This Row],[Vertex]],GroupVertices[Vertex],0)),1,1,"")</f>
        <v>3</v>
      </c>
      <c r="AQ50" s="45">
        <v>1</v>
      </c>
      <c r="AR50" s="46">
        <v>1.2658227848101267</v>
      </c>
      <c r="AS50" s="45">
        <v>0</v>
      </c>
      <c r="AT50" s="46">
        <v>0</v>
      </c>
      <c r="AU50" s="45">
        <v>0</v>
      </c>
      <c r="AV50" s="46">
        <v>0</v>
      </c>
      <c r="AW50" s="45">
        <v>46</v>
      </c>
      <c r="AX50" s="46">
        <v>58.22784810126582</v>
      </c>
      <c r="AY50" s="45">
        <v>79</v>
      </c>
      <c r="AZ50" s="45"/>
      <c r="BA50" s="45"/>
      <c r="BB50" s="45"/>
      <c r="BC50" s="45"/>
      <c r="BD50" s="45"/>
      <c r="BE50" s="45"/>
      <c r="BF50" s="45"/>
      <c r="BG50" s="45"/>
      <c r="BH50" s="45"/>
      <c r="BI50" s="45"/>
      <c r="BJ50" s="2"/>
    </row>
    <row r="51" spans="1:62" ht="41.45" customHeight="1">
      <c r="A51" s="62" t="s">
        <v>236</v>
      </c>
      <c r="C51" s="63"/>
      <c r="D51" s="63" t="s">
        <v>64</v>
      </c>
      <c r="E51" s="64">
        <v>517.8381512093649</v>
      </c>
      <c r="F51" s="66">
        <v>99.10962285997948</v>
      </c>
      <c r="G51" s="96" t="str">
        <f>HYPERLINK("https://i.ytimg.com/vi/L97N3KUi6Vk/default.jpg")</f>
        <v>https://i.ytimg.com/vi/L97N3KUi6Vk/default.jpg</v>
      </c>
      <c r="H51" s="63"/>
      <c r="I51" s="67" t="s">
        <v>1753</v>
      </c>
      <c r="J51" s="68"/>
      <c r="K51" s="68" t="s">
        <v>75</v>
      </c>
      <c r="L51" s="47" t="s">
        <v>1851</v>
      </c>
      <c r="M51" s="71">
        <v>115.36013749370976</v>
      </c>
      <c r="N51" s="72">
        <v>9870.16015625</v>
      </c>
      <c r="O51" s="72">
        <v>9526.365234375</v>
      </c>
      <c r="P51" s="73"/>
      <c r="Q51" s="74"/>
      <c r="R51" s="74"/>
      <c r="S51" s="82"/>
      <c r="T51" s="45">
        <v>3</v>
      </c>
      <c r="U51" s="45">
        <v>1</v>
      </c>
      <c r="V51" s="46">
        <v>27.207267</v>
      </c>
      <c r="W51" s="46">
        <v>0.427083</v>
      </c>
      <c r="X51" s="46">
        <v>0.036143</v>
      </c>
      <c r="Y51" s="46">
        <v>0.010867</v>
      </c>
      <c r="Z51" s="46">
        <v>0.16666666666666666</v>
      </c>
      <c r="AA51" s="46">
        <v>0</v>
      </c>
      <c r="AB51" s="69">
        <v>51</v>
      </c>
      <c r="AC51" s="69"/>
      <c r="AD51" s="70"/>
      <c r="AE51" s="77" t="s">
        <v>1753</v>
      </c>
      <c r="AF51" s="77" t="s">
        <v>1851</v>
      </c>
      <c r="AG51" s="77" t="s">
        <v>1944</v>
      </c>
      <c r="AH51" s="77" t="s">
        <v>2028</v>
      </c>
      <c r="AI51" s="77" t="s">
        <v>2096</v>
      </c>
      <c r="AJ51" s="77">
        <v>29021</v>
      </c>
      <c r="AK51" s="77">
        <v>76</v>
      </c>
      <c r="AL51" s="77">
        <v>1359</v>
      </c>
      <c r="AM51" s="77">
        <v>0</v>
      </c>
      <c r="AN51" s="77" t="s">
        <v>2181</v>
      </c>
      <c r="AO51" s="98" t="str">
        <f>HYPERLINK("https://www.youtube.com/watch?v=L97N3KUi6Vk")</f>
        <v>https://www.youtube.com/watch?v=L97N3KUi6Vk</v>
      </c>
      <c r="AP51" s="77" t="str">
        <f>REPLACE(INDEX(GroupVertices[Group],MATCH("~"&amp;Vertices[[#This Row],[Vertex]],GroupVertices[Vertex],0)),1,1,"")</f>
        <v>5</v>
      </c>
      <c r="AQ51" s="45">
        <v>2</v>
      </c>
      <c r="AR51" s="46">
        <v>3.6363636363636362</v>
      </c>
      <c r="AS51" s="45">
        <v>0</v>
      </c>
      <c r="AT51" s="46">
        <v>0</v>
      </c>
      <c r="AU51" s="45">
        <v>0</v>
      </c>
      <c r="AV51" s="46">
        <v>0</v>
      </c>
      <c r="AW51" s="45">
        <v>30</v>
      </c>
      <c r="AX51" s="46">
        <v>54.54545454545455</v>
      </c>
      <c r="AY51" s="45">
        <v>55</v>
      </c>
      <c r="AZ51" s="45"/>
      <c r="BA51" s="45"/>
      <c r="BB51" s="45"/>
      <c r="BC51" s="45"/>
      <c r="BD51" s="45"/>
      <c r="BE51" s="45"/>
      <c r="BF51" s="111" t="s">
        <v>1674</v>
      </c>
      <c r="BG51" s="111" t="s">
        <v>1674</v>
      </c>
      <c r="BH51" s="111" t="s">
        <v>1674</v>
      </c>
      <c r="BI51" s="111" t="s">
        <v>1674</v>
      </c>
      <c r="BJ51" s="2"/>
    </row>
    <row r="52" spans="1:62" ht="41.45" customHeight="1">
      <c r="A52" s="62" t="s">
        <v>282</v>
      </c>
      <c r="C52" s="63"/>
      <c r="D52" s="63" t="s">
        <v>64</v>
      </c>
      <c r="E52" s="64">
        <v>470.0506486023415</v>
      </c>
      <c r="F52" s="66">
        <v>99.28893992107076</v>
      </c>
      <c r="G52" s="96" t="str">
        <f>HYPERLINK("https://i.ytimg.com/vi/p24pyGQJd4c/default.jpg")</f>
        <v>https://i.ytimg.com/vi/p24pyGQJd4c/default.jpg</v>
      </c>
      <c r="H52" s="63"/>
      <c r="I52" s="67" t="s">
        <v>1812</v>
      </c>
      <c r="J52" s="68"/>
      <c r="K52" s="68" t="s">
        <v>75</v>
      </c>
      <c r="L52" s="47" t="s">
        <v>1908</v>
      </c>
      <c r="M52" s="71">
        <v>74.0836547465109</v>
      </c>
      <c r="N52" s="72">
        <v>5977.0478515625</v>
      </c>
      <c r="O52" s="72">
        <v>9622.8359375</v>
      </c>
      <c r="P52" s="73"/>
      <c r="Q52" s="74"/>
      <c r="R52" s="74"/>
      <c r="S52" s="82"/>
      <c r="T52" s="45">
        <v>4</v>
      </c>
      <c r="U52" s="45">
        <v>4</v>
      </c>
      <c r="V52" s="46">
        <v>21.727873</v>
      </c>
      <c r="W52" s="46">
        <v>0.414141</v>
      </c>
      <c r="X52" s="46">
        <v>0.04907</v>
      </c>
      <c r="Y52" s="46">
        <v>0.011399</v>
      </c>
      <c r="Z52" s="46">
        <v>0.14285714285714285</v>
      </c>
      <c r="AA52" s="46">
        <v>0</v>
      </c>
      <c r="AB52" s="69">
        <v>52</v>
      </c>
      <c r="AC52" s="69"/>
      <c r="AD52" s="70"/>
      <c r="AE52" s="77" t="s">
        <v>1812</v>
      </c>
      <c r="AF52" s="77" t="s">
        <v>1908</v>
      </c>
      <c r="AG52" s="77" t="s">
        <v>1995</v>
      </c>
      <c r="AH52" s="77" t="s">
        <v>2027</v>
      </c>
      <c r="AI52" s="77" t="s">
        <v>2155</v>
      </c>
      <c r="AJ52" s="77">
        <v>18651</v>
      </c>
      <c r="AK52" s="77">
        <v>34</v>
      </c>
      <c r="AL52" s="77">
        <v>571</v>
      </c>
      <c r="AM52" s="77">
        <v>0</v>
      </c>
      <c r="AN52" s="77" t="s">
        <v>2181</v>
      </c>
      <c r="AO52" s="98" t="str">
        <f>HYPERLINK("https://www.youtube.com/watch?v=p24pyGQJd4c")</f>
        <v>https://www.youtube.com/watch?v=p24pyGQJd4c</v>
      </c>
      <c r="AP52" s="77" t="str">
        <f>REPLACE(INDEX(GroupVertices[Group],MATCH("~"&amp;Vertices[[#This Row],[Vertex]],GroupVertices[Vertex],0)),1,1,"")</f>
        <v>3</v>
      </c>
      <c r="AQ52" s="45">
        <v>1</v>
      </c>
      <c r="AR52" s="46">
        <v>3.0303030303030303</v>
      </c>
      <c r="AS52" s="45">
        <v>1</v>
      </c>
      <c r="AT52" s="46">
        <v>3.0303030303030303</v>
      </c>
      <c r="AU52" s="45">
        <v>0</v>
      </c>
      <c r="AV52" s="46">
        <v>0</v>
      </c>
      <c r="AW52" s="45">
        <v>20</v>
      </c>
      <c r="AX52" s="46">
        <v>60.60606060606061</v>
      </c>
      <c r="AY52" s="45">
        <v>33</v>
      </c>
      <c r="AZ52" s="45"/>
      <c r="BA52" s="45"/>
      <c r="BB52" s="45"/>
      <c r="BC52" s="45"/>
      <c r="BD52" s="45"/>
      <c r="BE52" s="45"/>
      <c r="BF52" s="111" t="s">
        <v>1674</v>
      </c>
      <c r="BG52" s="111" t="s">
        <v>1674</v>
      </c>
      <c r="BH52" s="111" t="s">
        <v>1674</v>
      </c>
      <c r="BI52" s="111" t="s">
        <v>1674</v>
      </c>
      <c r="BJ52" s="2"/>
    </row>
    <row r="53" spans="1:62" ht="41.45" customHeight="1">
      <c r="A53" s="62" t="s">
        <v>269</v>
      </c>
      <c r="C53" s="63"/>
      <c r="D53" s="63" t="s">
        <v>64</v>
      </c>
      <c r="E53" s="64">
        <v>739.269952512896</v>
      </c>
      <c r="F53" s="66">
        <v>99.3065282232106</v>
      </c>
      <c r="G53" s="96" t="str">
        <f>HYPERLINK("https://i.ytimg.com/vi/2mmCA-xKw7A/default.jpg")</f>
        <v>https://i.ytimg.com/vi/2mmCA-xKw7A/default.jpg</v>
      </c>
      <c r="H53" s="63"/>
      <c r="I53" s="67" t="s">
        <v>1796</v>
      </c>
      <c r="J53" s="68"/>
      <c r="K53" s="68" t="s">
        <v>75</v>
      </c>
      <c r="L53" s="47" t="s">
        <v>1892</v>
      </c>
      <c r="M53" s="71">
        <v>895.9314633509354</v>
      </c>
      <c r="N53" s="72">
        <v>1041.307861328125</v>
      </c>
      <c r="O53" s="72">
        <v>3846.041748046875</v>
      </c>
      <c r="P53" s="73"/>
      <c r="Q53" s="74"/>
      <c r="R53" s="74"/>
      <c r="S53" s="82"/>
      <c r="T53" s="45">
        <v>2</v>
      </c>
      <c r="U53" s="45">
        <v>7</v>
      </c>
      <c r="V53" s="46">
        <v>21.190427</v>
      </c>
      <c r="W53" s="46">
        <v>0.443243</v>
      </c>
      <c r="X53" s="46">
        <v>0.07614</v>
      </c>
      <c r="Y53" s="46">
        <v>0.011487</v>
      </c>
      <c r="Z53" s="46">
        <v>0.25</v>
      </c>
      <c r="AA53" s="46">
        <v>0</v>
      </c>
      <c r="AB53" s="69">
        <v>53</v>
      </c>
      <c r="AC53" s="69"/>
      <c r="AD53" s="70"/>
      <c r="AE53" s="77" t="s">
        <v>1796</v>
      </c>
      <c r="AF53" s="77" t="s">
        <v>1892</v>
      </c>
      <c r="AG53" s="77" t="s">
        <v>1980</v>
      </c>
      <c r="AH53" s="77" t="s">
        <v>2027</v>
      </c>
      <c r="AI53" s="77" t="s">
        <v>2139</v>
      </c>
      <c r="AJ53" s="77">
        <v>225126</v>
      </c>
      <c r="AK53" s="77">
        <v>632</v>
      </c>
      <c r="AL53" s="77">
        <v>7712</v>
      </c>
      <c r="AM53" s="77">
        <v>0</v>
      </c>
      <c r="AN53" s="77" t="s">
        <v>2181</v>
      </c>
      <c r="AO53" s="98" t="str">
        <f>HYPERLINK("https://www.youtube.com/watch?v=2mmCA-xKw7A")</f>
        <v>https://www.youtube.com/watch?v=2mmCA-xKw7A</v>
      </c>
      <c r="AP53" s="77" t="str">
        <f>REPLACE(INDEX(GroupVertices[Group],MATCH("~"&amp;Vertices[[#This Row],[Vertex]],GroupVertices[Vertex],0)),1,1,"")</f>
        <v>2</v>
      </c>
      <c r="AQ53" s="45">
        <v>10</v>
      </c>
      <c r="AR53" s="46">
        <v>4.291845493562231</v>
      </c>
      <c r="AS53" s="45">
        <v>1</v>
      </c>
      <c r="AT53" s="46">
        <v>0.4291845493562232</v>
      </c>
      <c r="AU53" s="45">
        <v>0</v>
      </c>
      <c r="AV53" s="46">
        <v>0</v>
      </c>
      <c r="AW53" s="45">
        <v>154</v>
      </c>
      <c r="AX53" s="46">
        <v>66.09442060085837</v>
      </c>
      <c r="AY53" s="45">
        <v>233</v>
      </c>
      <c r="AZ53" s="45"/>
      <c r="BA53" s="45"/>
      <c r="BB53" s="45"/>
      <c r="BC53" s="45"/>
      <c r="BD53" s="45"/>
      <c r="BE53" s="45"/>
      <c r="BF53" s="111" t="s">
        <v>1674</v>
      </c>
      <c r="BG53" s="111" t="s">
        <v>1674</v>
      </c>
      <c r="BH53" s="111" t="s">
        <v>1674</v>
      </c>
      <c r="BI53" s="111" t="s">
        <v>1674</v>
      </c>
      <c r="BJ53" s="2"/>
    </row>
    <row r="54" spans="1:62" ht="41.45" customHeight="1">
      <c r="A54" s="62" t="s">
        <v>286</v>
      </c>
      <c r="C54" s="63"/>
      <c r="D54" s="63" t="s">
        <v>64</v>
      </c>
      <c r="E54" s="64">
        <v>639.102031670402</v>
      </c>
      <c r="F54" s="66">
        <v>99.33455259076146</v>
      </c>
      <c r="G54" s="96" t="str">
        <f>HYPERLINK("https://i.ytimg.com/vi/qu6i2lgc-uY/default.jpg")</f>
        <v>https://i.ytimg.com/vi/qu6i2lgc-uY/default.jpg</v>
      </c>
      <c r="H54" s="63"/>
      <c r="I54" s="67" t="s">
        <v>1816</v>
      </c>
      <c r="J54" s="68"/>
      <c r="K54" s="68" t="s">
        <v>75</v>
      </c>
      <c r="L54" s="47" t="s">
        <v>1912</v>
      </c>
      <c r="M54" s="71">
        <v>354.5567579575639</v>
      </c>
      <c r="N54" s="72">
        <v>5766.75732421875</v>
      </c>
      <c r="O54" s="72">
        <v>8322.5947265625</v>
      </c>
      <c r="P54" s="73"/>
      <c r="Q54" s="74"/>
      <c r="R54" s="74"/>
      <c r="S54" s="82"/>
      <c r="T54" s="45">
        <v>2</v>
      </c>
      <c r="U54" s="45">
        <v>5</v>
      </c>
      <c r="V54" s="46">
        <v>20.334086</v>
      </c>
      <c r="W54" s="46">
        <v>0.414141</v>
      </c>
      <c r="X54" s="46">
        <v>0.046287</v>
      </c>
      <c r="Y54" s="46">
        <v>0.011294</v>
      </c>
      <c r="Z54" s="46">
        <v>0.16666666666666666</v>
      </c>
      <c r="AA54" s="46">
        <v>0</v>
      </c>
      <c r="AB54" s="69">
        <v>54</v>
      </c>
      <c r="AC54" s="69"/>
      <c r="AD54" s="70"/>
      <c r="AE54" s="77" t="s">
        <v>1816</v>
      </c>
      <c r="AF54" s="77" t="s">
        <v>1912</v>
      </c>
      <c r="AG54" s="77"/>
      <c r="AH54" s="77" t="s">
        <v>2065</v>
      </c>
      <c r="AI54" s="77" t="s">
        <v>2159</v>
      </c>
      <c r="AJ54" s="77">
        <v>89115</v>
      </c>
      <c r="AK54" s="77">
        <v>432</v>
      </c>
      <c r="AL54" s="77">
        <v>3405</v>
      </c>
      <c r="AM54" s="77">
        <v>0</v>
      </c>
      <c r="AN54" s="77" t="s">
        <v>2181</v>
      </c>
      <c r="AO54" s="98" t="str">
        <f>HYPERLINK("https://www.youtube.com/watch?v=qu6i2lgc-uY")</f>
        <v>https://www.youtube.com/watch?v=qu6i2lgc-uY</v>
      </c>
      <c r="AP54" s="77" t="str">
        <f>REPLACE(INDEX(GroupVertices[Group],MATCH("~"&amp;Vertices[[#This Row],[Vertex]],GroupVertices[Vertex],0)),1,1,"")</f>
        <v>3</v>
      </c>
      <c r="AQ54" s="45">
        <v>3</v>
      </c>
      <c r="AR54" s="46">
        <v>3.896103896103896</v>
      </c>
      <c r="AS54" s="45">
        <v>1</v>
      </c>
      <c r="AT54" s="46">
        <v>1.2987012987012987</v>
      </c>
      <c r="AU54" s="45">
        <v>0</v>
      </c>
      <c r="AV54" s="46">
        <v>0</v>
      </c>
      <c r="AW54" s="45">
        <v>51</v>
      </c>
      <c r="AX54" s="46">
        <v>66.23376623376623</v>
      </c>
      <c r="AY54" s="45">
        <v>77</v>
      </c>
      <c r="AZ54" s="45"/>
      <c r="BA54" s="45"/>
      <c r="BB54" s="45"/>
      <c r="BC54" s="45"/>
      <c r="BD54" s="45"/>
      <c r="BE54" s="45"/>
      <c r="BF54" s="111" t="s">
        <v>1674</v>
      </c>
      <c r="BG54" s="111" t="s">
        <v>1674</v>
      </c>
      <c r="BH54" s="111" t="s">
        <v>1674</v>
      </c>
      <c r="BI54" s="111" t="s">
        <v>1674</v>
      </c>
      <c r="BJ54" s="2"/>
    </row>
    <row r="55" spans="1:62" ht="41.45" customHeight="1">
      <c r="A55" s="62" t="s">
        <v>287</v>
      </c>
      <c r="C55" s="63"/>
      <c r="D55" s="63" t="s">
        <v>64</v>
      </c>
      <c r="E55" s="64">
        <v>725.074659397575</v>
      </c>
      <c r="F55" s="66">
        <v>99.40149159140853</v>
      </c>
      <c r="G55" s="96" t="str">
        <f>HYPERLINK("https://i.ytimg.com/vi/IM_eJ5VWLS0/default.jpg")</f>
        <v>https://i.ytimg.com/vi/IM_eJ5VWLS0/default.jpg</v>
      </c>
      <c r="H55" s="63"/>
      <c r="I55" s="67" t="s">
        <v>1817</v>
      </c>
      <c r="J55" s="68"/>
      <c r="K55" s="68" t="s">
        <v>75</v>
      </c>
      <c r="L55" s="47" t="s">
        <v>1913</v>
      </c>
      <c r="M55" s="71">
        <v>785.6472292644708</v>
      </c>
      <c r="N55" s="72">
        <v>145.44000244140625</v>
      </c>
      <c r="O55" s="72">
        <v>2393.373291015625</v>
      </c>
      <c r="P55" s="73"/>
      <c r="Q55" s="74"/>
      <c r="R55" s="74"/>
      <c r="S55" s="82"/>
      <c r="T55" s="45">
        <v>0</v>
      </c>
      <c r="U55" s="45">
        <v>8</v>
      </c>
      <c r="V55" s="46">
        <v>18.28863</v>
      </c>
      <c r="W55" s="46">
        <v>0.43617</v>
      </c>
      <c r="X55" s="46">
        <v>0.06946</v>
      </c>
      <c r="Y55" s="46">
        <v>0.011174</v>
      </c>
      <c r="Z55" s="46">
        <v>0.21428571428571427</v>
      </c>
      <c r="AA55" s="46">
        <v>0</v>
      </c>
      <c r="AB55" s="69">
        <v>55</v>
      </c>
      <c r="AC55" s="69"/>
      <c r="AD55" s="70"/>
      <c r="AE55" s="77" t="s">
        <v>1817</v>
      </c>
      <c r="AF55" s="77" t="s">
        <v>1913</v>
      </c>
      <c r="AG55" s="77" t="s">
        <v>1999</v>
      </c>
      <c r="AH55" s="77" t="s">
        <v>2066</v>
      </c>
      <c r="AI55" s="77" t="s">
        <v>2160</v>
      </c>
      <c r="AJ55" s="77">
        <v>197419</v>
      </c>
      <c r="AK55" s="77">
        <v>370</v>
      </c>
      <c r="AL55" s="77">
        <v>8602</v>
      </c>
      <c r="AM55" s="77">
        <v>0</v>
      </c>
      <c r="AN55" s="77" t="s">
        <v>2181</v>
      </c>
      <c r="AO55" s="98" t="str">
        <f>HYPERLINK("https://www.youtube.com/watch?v=IM_eJ5VWLS0")</f>
        <v>https://www.youtube.com/watch?v=IM_eJ5VWLS0</v>
      </c>
      <c r="AP55" s="77" t="str">
        <f>REPLACE(INDEX(GroupVertices[Group],MATCH("~"&amp;Vertices[[#This Row],[Vertex]],GroupVertices[Vertex],0)),1,1,"")</f>
        <v>2</v>
      </c>
      <c r="AQ55" s="45">
        <v>2</v>
      </c>
      <c r="AR55" s="46">
        <v>3.225806451612903</v>
      </c>
      <c r="AS55" s="45">
        <v>0</v>
      </c>
      <c r="AT55" s="46">
        <v>0</v>
      </c>
      <c r="AU55" s="45">
        <v>0</v>
      </c>
      <c r="AV55" s="46">
        <v>0</v>
      </c>
      <c r="AW55" s="45">
        <v>55</v>
      </c>
      <c r="AX55" s="46">
        <v>88.70967741935483</v>
      </c>
      <c r="AY55" s="45">
        <v>62</v>
      </c>
      <c r="AZ55" s="45"/>
      <c r="BA55" s="45"/>
      <c r="BB55" s="45"/>
      <c r="BC55" s="45"/>
      <c r="BD55" s="45"/>
      <c r="BE55" s="45"/>
      <c r="BF55" s="111" t="s">
        <v>1674</v>
      </c>
      <c r="BG55" s="111" t="s">
        <v>1674</v>
      </c>
      <c r="BH55" s="111" t="s">
        <v>1674</v>
      </c>
      <c r="BI55" s="111" t="s">
        <v>1674</v>
      </c>
      <c r="BJ55" s="2"/>
    </row>
    <row r="56" spans="1:62" ht="41.45" customHeight="1">
      <c r="A56" s="62" t="s">
        <v>227</v>
      </c>
      <c r="C56" s="63"/>
      <c r="D56" s="63" t="s">
        <v>64</v>
      </c>
      <c r="E56" s="64">
        <v>355.21449549277685</v>
      </c>
      <c r="F56" s="66">
        <v>99.53068055474255</v>
      </c>
      <c r="G56" s="96" t="str">
        <f>HYPERLINK("https://i.ytimg.com/vi/rGW7lWYSg64/default.jpg")</f>
        <v>https://i.ytimg.com/vi/rGW7lWYSg64/default.jpg</v>
      </c>
      <c r="H56" s="63"/>
      <c r="I56" s="67" t="s">
        <v>1749</v>
      </c>
      <c r="J56" s="68"/>
      <c r="K56" s="68" t="s">
        <v>75</v>
      </c>
      <c r="L56" s="47" t="s">
        <v>1847</v>
      </c>
      <c r="M56" s="71">
        <v>25.503184936524214</v>
      </c>
      <c r="N56" s="72">
        <v>3337.24169921875</v>
      </c>
      <c r="O56" s="72">
        <v>3102.048583984375</v>
      </c>
      <c r="P56" s="73"/>
      <c r="Q56" s="74"/>
      <c r="R56" s="74"/>
      <c r="S56" s="82"/>
      <c r="T56" s="45">
        <v>0</v>
      </c>
      <c r="U56" s="45">
        <v>5</v>
      </c>
      <c r="V56" s="46">
        <v>14.341001</v>
      </c>
      <c r="W56" s="46">
        <v>0.392344</v>
      </c>
      <c r="X56" s="46">
        <v>0.029934</v>
      </c>
      <c r="Y56" s="46">
        <v>0.011157</v>
      </c>
      <c r="Z56" s="46">
        <v>0.3</v>
      </c>
      <c r="AA56" s="46">
        <v>0</v>
      </c>
      <c r="AB56" s="69">
        <v>56</v>
      </c>
      <c r="AC56" s="69"/>
      <c r="AD56" s="70"/>
      <c r="AE56" s="77" t="s">
        <v>1749</v>
      </c>
      <c r="AF56" s="77" t="s">
        <v>1847</v>
      </c>
      <c r="AG56" s="77"/>
      <c r="AH56" s="77" t="s">
        <v>2026</v>
      </c>
      <c r="AI56" s="77" t="s">
        <v>2092</v>
      </c>
      <c r="AJ56" s="77">
        <v>6446</v>
      </c>
      <c r="AK56" s="77">
        <v>41</v>
      </c>
      <c r="AL56" s="77">
        <v>208</v>
      </c>
      <c r="AM56" s="77">
        <v>0</v>
      </c>
      <c r="AN56" s="77" t="s">
        <v>2181</v>
      </c>
      <c r="AO56" s="98" t="str">
        <f>HYPERLINK("https://www.youtube.com/watch?v=rGW7lWYSg64")</f>
        <v>https://www.youtube.com/watch?v=rGW7lWYSg64</v>
      </c>
      <c r="AP56" s="77" t="str">
        <f>REPLACE(INDEX(GroupVertices[Group],MATCH("~"&amp;Vertices[[#This Row],[Vertex]],GroupVertices[Vertex],0)),1,1,"")</f>
        <v>2</v>
      </c>
      <c r="AQ56" s="45">
        <v>0</v>
      </c>
      <c r="AR56" s="46">
        <v>0</v>
      </c>
      <c r="AS56" s="45">
        <v>3</v>
      </c>
      <c r="AT56" s="46">
        <v>2.2222222222222223</v>
      </c>
      <c r="AU56" s="45">
        <v>0</v>
      </c>
      <c r="AV56" s="46">
        <v>0</v>
      </c>
      <c r="AW56" s="45">
        <v>78</v>
      </c>
      <c r="AX56" s="46">
        <v>57.77777777777778</v>
      </c>
      <c r="AY56" s="45">
        <v>135</v>
      </c>
      <c r="AZ56" s="45"/>
      <c r="BA56" s="45"/>
      <c r="BB56" s="45"/>
      <c r="BC56" s="45"/>
      <c r="BD56" s="45"/>
      <c r="BE56" s="45"/>
      <c r="BF56" s="111" t="s">
        <v>1674</v>
      </c>
      <c r="BG56" s="111" t="s">
        <v>1674</v>
      </c>
      <c r="BH56" s="111" t="s">
        <v>1674</v>
      </c>
      <c r="BI56" s="111" t="s">
        <v>1674</v>
      </c>
      <c r="BJ56" s="2"/>
    </row>
    <row r="57" spans="1:62" ht="41.45" customHeight="1">
      <c r="A57" s="62" t="s">
        <v>275</v>
      </c>
      <c r="C57" s="63"/>
      <c r="D57" s="63" t="s">
        <v>64</v>
      </c>
      <c r="E57" s="64">
        <v>542.1468909782503</v>
      </c>
      <c r="F57" s="66">
        <v>99.59850717483219</v>
      </c>
      <c r="G57" s="96" t="str">
        <f>HYPERLINK("https://i.ytimg.com/vi/BcZZOIdpISw/default.jpg")</f>
        <v>https://i.ytimg.com/vi/BcZZOIdpISw/default.jpg</v>
      </c>
      <c r="H57" s="63"/>
      <c r="I57" s="67" t="s">
        <v>1803</v>
      </c>
      <c r="J57" s="68"/>
      <c r="K57" s="68" t="s">
        <v>75</v>
      </c>
      <c r="L57" s="47" t="s">
        <v>1899</v>
      </c>
      <c r="M57" s="71">
        <v>144.4924978820172</v>
      </c>
      <c r="N57" s="72">
        <v>848.1332397460938</v>
      </c>
      <c r="O57" s="72">
        <v>4800.0478515625</v>
      </c>
      <c r="P57" s="73"/>
      <c r="Q57" s="74"/>
      <c r="R57" s="74"/>
      <c r="S57" s="82"/>
      <c r="T57" s="45">
        <v>4</v>
      </c>
      <c r="U57" s="45">
        <v>6</v>
      </c>
      <c r="V57" s="46">
        <v>12.268422</v>
      </c>
      <c r="W57" s="46">
        <v>0.458101</v>
      </c>
      <c r="X57" s="46">
        <v>0.096961</v>
      </c>
      <c r="Y57" s="46">
        <v>0.011397</v>
      </c>
      <c r="Z57" s="46">
        <v>0.3333333333333333</v>
      </c>
      <c r="AA57" s="46">
        <v>0</v>
      </c>
      <c r="AB57" s="69">
        <v>57</v>
      </c>
      <c r="AC57" s="69"/>
      <c r="AD57" s="70"/>
      <c r="AE57" s="77" t="s">
        <v>1803</v>
      </c>
      <c r="AF57" s="77" t="s">
        <v>1899</v>
      </c>
      <c r="AG57" s="77" t="s">
        <v>1986</v>
      </c>
      <c r="AH57" s="77" t="s">
        <v>2057</v>
      </c>
      <c r="AI57" s="77" t="s">
        <v>2146</v>
      </c>
      <c r="AJ57" s="77">
        <v>36340</v>
      </c>
      <c r="AK57" s="77">
        <v>35</v>
      </c>
      <c r="AL57" s="77">
        <v>1153</v>
      </c>
      <c r="AM57" s="77">
        <v>0</v>
      </c>
      <c r="AN57" s="77" t="s">
        <v>2181</v>
      </c>
      <c r="AO57" s="98" t="str">
        <f>HYPERLINK("https://www.youtube.com/watch?v=BcZZOIdpISw")</f>
        <v>https://www.youtube.com/watch?v=BcZZOIdpISw</v>
      </c>
      <c r="AP57" s="77" t="str">
        <f>REPLACE(INDEX(GroupVertices[Group],MATCH("~"&amp;Vertices[[#This Row],[Vertex]],GroupVertices[Vertex],0)),1,1,"")</f>
        <v>1</v>
      </c>
      <c r="AQ57" s="45">
        <v>0</v>
      </c>
      <c r="AR57" s="46">
        <v>0</v>
      </c>
      <c r="AS57" s="45">
        <v>0</v>
      </c>
      <c r="AT57" s="46">
        <v>0</v>
      </c>
      <c r="AU57" s="45">
        <v>0</v>
      </c>
      <c r="AV57" s="46">
        <v>0</v>
      </c>
      <c r="AW57" s="45">
        <v>7</v>
      </c>
      <c r="AX57" s="46">
        <v>63.63636363636363</v>
      </c>
      <c r="AY57" s="45">
        <v>11</v>
      </c>
      <c r="AZ57" s="45" t="s">
        <v>3434</v>
      </c>
      <c r="BA57" s="45" t="s">
        <v>3434</v>
      </c>
      <c r="BB57" s="45" t="s">
        <v>1670</v>
      </c>
      <c r="BC57" s="45" t="s">
        <v>1670</v>
      </c>
      <c r="BD57" s="45"/>
      <c r="BE57" s="45"/>
      <c r="BF57" s="111" t="s">
        <v>1674</v>
      </c>
      <c r="BG57" s="111" t="s">
        <v>1674</v>
      </c>
      <c r="BH57" s="111" t="s">
        <v>1674</v>
      </c>
      <c r="BI57" s="111" t="s">
        <v>1674</v>
      </c>
      <c r="BJ57" s="2"/>
    </row>
    <row r="58" spans="1:62" ht="41.45" customHeight="1">
      <c r="A58" s="62" t="s">
        <v>285</v>
      </c>
      <c r="C58" s="63"/>
      <c r="D58" s="63" t="s">
        <v>64</v>
      </c>
      <c r="E58" s="64">
        <v>612.3604623008628</v>
      </c>
      <c r="F58" s="66">
        <v>99.60411312174567</v>
      </c>
      <c r="G58" s="96" t="str">
        <f>HYPERLINK("https://i.ytimg.com/vi/hrlkfiVT2TA/default.jpg")</f>
        <v>https://i.ytimg.com/vi/hrlkfiVT2TA/default.jpg</v>
      </c>
      <c r="H58" s="63"/>
      <c r="I58" s="67" t="s">
        <v>1815</v>
      </c>
      <c r="J58" s="68"/>
      <c r="K58" s="68" t="s">
        <v>75</v>
      </c>
      <c r="L58" s="47" t="s">
        <v>1911</v>
      </c>
      <c r="M58" s="71">
        <v>276.81208476390066</v>
      </c>
      <c r="N58" s="72">
        <v>2412.3935546875</v>
      </c>
      <c r="O58" s="72">
        <v>4878.67333984375</v>
      </c>
      <c r="P58" s="73"/>
      <c r="Q58" s="74"/>
      <c r="R58" s="74"/>
      <c r="S58" s="82"/>
      <c r="T58" s="45">
        <v>0</v>
      </c>
      <c r="U58" s="45">
        <v>9</v>
      </c>
      <c r="V58" s="46">
        <v>12.097121</v>
      </c>
      <c r="W58" s="46">
        <v>0.455556</v>
      </c>
      <c r="X58" s="46">
        <v>0.091633</v>
      </c>
      <c r="Y58" s="46">
        <v>0.01122</v>
      </c>
      <c r="Z58" s="46">
        <v>0.2777777777777778</v>
      </c>
      <c r="AA58" s="46">
        <v>0</v>
      </c>
      <c r="AB58" s="69">
        <v>58</v>
      </c>
      <c r="AC58" s="69"/>
      <c r="AD58" s="70"/>
      <c r="AE58" s="77" t="s">
        <v>1815</v>
      </c>
      <c r="AF58" s="77" t="s">
        <v>1911</v>
      </c>
      <c r="AG58" s="77" t="s">
        <v>1998</v>
      </c>
      <c r="AH58" s="77" t="s">
        <v>2045</v>
      </c>
      <c r="AI58" s="77" t="s">
        <v>2158</v>
      </c>
      <c r="AJ58" s="77">
        <v>69583</v>
      </c>
      <c r="AK58" s="77">
        <v>52</v>
      </c>
      <c r="AL58" s="77">
        <v>792</v>
      </c>
      <c r="AM58" s="77">
        <v>0</v>
      </c>
      <c r="AN58" s="77" t="s">
        <v>2181</v>
      </c>
      <c r="AO58" s="98" t="str">
        <f>HYPERLINK("https://www.youtube.com/watch?v=hrlkfiVT2TA")</f>
        <v>https://www.youtube.com/watch?v=hrlkfiVT2TA</v>
      </c>
      <c r="AP58" s="77" t="str">
        <f>REPLACE(INDEX(GroupVertices[Group],MATCH("~"&amp;Vertices[[#This Row],[Vertex]],GroupVertices[Vertex],0)),1,1,"")</f>
        <v>1</v>
      </c>
      <c r="AQ58" s="45">
        <v>6</v>
      </c>
      <c r="AR58" s="46">
        <v>2.8846153846153846</v>
      </c>
      <c r="AS58" s="45">
        <v>1</v>
      </c>
      <c r="AT58" s="46">
        <v>0.4807692307692308</v>
      </c>
      <c r="AU58" s="45">
        <v>0</v>
      </c>
      <c r="AV58" s="46">
        <v>0</v>
      </c>
      <c r="AW58" s="45">
        <v>139</v>
      </c>
      <c r="AX58" s="46">
        <v>66.82692307692308</v>
      </c>
      <c r="AY58" s="45">
        <v>208</v>
      </c>
      <c r="AZ58" s="45"/>
      <c r="BA58" s="45"/>
      <c r="BB58" s="45"/>
      <c r="BC58" s="45"/>
      <c r="BD58" s="45"/>
      <c r="BE58" s="45"/>
      <c r="BF58" s="111" t="s">
        <v>1674</v>
      </c>
      <c r="BG58" s="111" t="s">
        <v>1674</v>
      </c>
      <c r="BH58" s="111" t="s">
        <v>1674</v>
      </c>
      <c r="BI58" s="111" t="s">
        <v>1674</v>
      </c>
      <c r="BJ58" s="2"/>
    </row>
    <row r="59" spans="1:62" ht="41.45" customHeight="1">
      <c r="A59" s="62" t="s">
        <v>272</v>
      </c>
      <c r="C59" s="63"/>
      <c r="D59" s="63" t="s">
        <v>64</v>
      </c>
      <c r="E59" s="64">
        <v>443.2710641661895</v>
      </c>
      <c r="F59" s="66">
        <v>99.62034680855584</v>
      </c>
      <c r="G59" s="96" t="str">
        <f>HYPERLINK("https://i.ytimg.com/vi/3OhgUuZy3BU/default.jpg")</f>
        <v>https://i.ytimg.com/vi/3OhgUuZy3BU/default.jpg</v>
      </c>
      <c r="H59" s="63"/>
      <c r="I59" s="67" t="s">
        <v>1799</v>
      </c>
      <c r="J59" s="68"/>
      <c r="K59" s="68" t="s">
        <v>75</v>
      </c>
      <c r="L59" s="47" t="s">
        <v>1895</v>
      </c>
      <c r="M59" s="71">
        <v>57.79198224079394</v>
      </c>
      <c r="N59" s="72">
        <v>1762.787109375</v>
      </c>
      <c r="O59" s="72">
        <v>4251.54345703125</v>
      </c>
      <c r="P59" s="73"/>
      <c r="Q59" s="74"/>
      <c r="R59" s="74"/>
      <c r="S59" s="82"/>
      <c r="T59" s="45">
        <v>7</v>
      </c>
      <c r="U59" s="45">
        <v>1</v>
      </c>
      <c r="V59" s="46">
        <v>11.601068</v>
      </c>
      <c r="W59" s="46">
        <v>0.443243</v>
      </c>
      <c r="X59" s="46">
        <v>0.072278</v>
      </c>
      <c r="Y59" s="46">
        <v>0.011137</v>
      </c>
      <c r="Z59" s="46">
        <v>0.32142857142857145</v>
      </c>
      <c r="AA59" s="46">
        <v>0</v>
      </c>
      <c r="AB59" s="69">
        <v>59</v>
      </c>
      <c r="AC59" s="69"/>
      <c r="AD59" s="70"/>
      <c r="AE59" s="77" t="s">
        <v>1799</v>
      </c>
      <c r="AF59" s="77" t="s">
        <v>1895</v>
      </c>
      <c r="AG59" s="77" t="s">
        <v>1983</v>
      </c>
      <c r="AH59" s="77" t="s">
        <v>2034</v>
      </c>
      <c r="AI59" s="77" t="s">
        <v>2142</v>
      </c>
      <c r="AJ59" s="77">
        <v>14558</v>
      </c>
      <c r="AK59" s="77">
        <v>31</v>
      </c>
      <c r="AL59" s="77">
        <v>257</v>
      </c>
      <c r="AM59" s="77">
        <v>0</v>
      </c>
      <c r="AN59" s="77" t="s">
        <v>2181</v>
      </c>
      <c r="AO59" s="98" t="str">
        <f>HYPERLINK("https://www.youtube.com/watch?v=3OhgUuZy3BU")</f>
        <v>https://www.youtube.com/watch?v=3OhgUuZy3BU</v>
      </c>
      <c r="AP59" s="77" t="str">
        <f>REPLACE(INDEX(GroupVertices[Group],MATCH("~"&amp;Vertices[[#This Row],[Vertex]],GroupVertices[Vertex],0)),1,1,"")</f>
        <v>2</v>
      </c>
      <c r="AQ59" s="45">
        <v>0</v>
      </c>
      <c r="AR59" s="46">
        <v>0</v>
      </c>
      <c r="AS59" s="45">
        <v>1</v>
      </c>
      <c r="AT59" s="46">
        <v>2.2222222222222223</v>
      </c>
      <c r="AU59" s="45">
        <v>0</v>
      </c>
      <c r="AV59" s="46">
        <v>0</v>
      </c>
      <c r="AW59" s="45">
        <v>33</v>
      </c>
      <c r="AX59" s="46">
        <v>73.33333333333333</v>
      </c>
      <c r="AY59" s="45">
        <v>45</v>
      </c>
      <c r="AZ59" s="45"/>
      <c r="BA59" s="45"/>
      <c r="BB59" s="45"/>
      <c r="BC59" s="45"/>
      <c r="BD59" s="45"/>
      <c r="BE59" s="45"/>
      <c r="BF59" s="111" t="s">
        <v>1674</v>
      </c>
      <c r="BG59" s="111" t="s">
        <v>1674</v>
      </c>
      <c r="BH59" s="111" t="s">
        <v>1674</v>
      </c>
      <c r="BI59" s="111" t="s">
        <v>1674</v>
      </c>
      <c r="BJ59" s="2"/>
    </row>
    <row r="60" spans="1:62" ht="41.45" customHeight="1">
      <c r="A60" s="62" t="s">
        <v>297</v>
      </c>
      <c r="C60" s="63"/>
      <c r="D60" s="63" t="s">
        <v>64</v>
      </c>
      <c r="E60" s="64">
        <v>348.1649031866522</v>
      </c>
      <c r="F60" s="66">
        <v>99.63752967186981</v>
      </c>
      <c r="G60" s="96" t="str">
        <f>HYPERLINK("https://i.ytimg.com/vi/00tfUV2EfYw/default.jpg")</f>
        <v>https://i.ytimg.com/vi/00tfUV2EfYw/default.jpg</v>
      </c>
      <c r="H60" s="63"/>
      <c r="I60" s="67" t="s">
        <v>1786</v>
      </c>
      <c r="J60" s="68"/>
      <c r="K60" s="68" t="s">
        <v>75</v>
      </c>
      <c r="L60" s="47" t="s">
        <v>1882</v>
      </c>
      <c r="M60" s="71">
        <v>23.883172547121134</v>
      </c>
      <c r="N60" s="72">
        <v>9377.19140625</v>
      </c>
      <c r="O60" s="72">
        <v>1321.22607421875</v>
      </c>
      <c r="P60" s="73"/>
      <c r="Q60" s="74"/>
      <c r="R60" s="74"/>
      <c r="S60" s="82"/>
      <c r="T60" s="45">
        <v>3</v>
      </c>
      <c r="U60" s="45">
        <v>0</v>
      </c>
      <c r="V60" s="46">
        <v>11.076011</v>
      </c>
      <c r="W60" s="46">
        <v>0.366071</v>
      </c>
      <c r="X60" s="46">
        <v>0.015803</v>
      </c>
      <c r="Y60" s="46">
        <v>0.011077</v>
      </c>
      <c r="Z60" s="46">
        <v>0.16666666666666666</v>
      </c>
      <c r="AA60" s="46">
        <v>0</v>
      </c>
      <c r="AB60" s="69">
        <v>60</v>
      </c>
      <c r="AC60" s="69"/>
      <c r="AD60" s="70"/>
      <c r="AE60" s="77" t="s">
        <v>1786</v>
      </c>
      <c r="AF60" s="77" t="s">
        <v>1882</v>
      </c>
      <c r="AG60" s="77" t="s">
        <v>1971</v>
      </c>
      <c r="AH60" s="77" t="s">
        <v>2050</v>
      </c>
      <c r="AI60" s="77" t="s">
        <v>2129</v>
      </c>
      <c r="AJ60" s="77">
        <v>6039</v>
      </c>
      <c r="AK60" s="77">
        <v>6</v>
      </c>
      <c r="AL60" s="77">
        <v>83</v>
      </c>
      <c r="AM60" s="77">
        <v>0</v>
      </c>
      <c r="AN60" s="77" t="s">
        <v>2181</v>
      </c>
      <c r="AO60" s="98" t="str">
        <f>HYPERLINK("https://www.youtube.com/watch?v=00tfUV2EfYw")</f>
        <v>https://www.youtube.com/watch?v=00tfUV2EfYw</v>
      </c>
      <c r="AP60" s="77" t="str">
        <f>REPLACE(INDEX(GroupVertices[Group],MATCH("~"&amp;Vertices[[#This Row],[Vertex]],GroupVertices[Vertex],0)),1,1,"")</f>
        <v>8</v>
      </c>
      <c r="AQ60" s="45">
        <v>0</v>
      </c>
      <c r="AR60" s="46">
        <v>0</v>
      </c>
      <c r="AS60" s="45">
        <v>0</v>
      </c>
      <c r="AT60" s="46">
        <v>0</v>
      </c>
      <c r="AU60" s="45">
        <v>0</v>
      </c>
      <c r="AV60" s="46">
        <v>0</v>
      </c>
      <c r="AW60" s="45">
        <v>37</v>
      </c>
      <c r="AX60" s="46">
        <v>71.15384615384616</v>
      </c>
      <c r="AY60" s="45">
        <v>52</v>
      </c>
      <c r="AZ60" s="45"/>
      <c r="BA60" s="45"/>
      <c r="BB60" s="45"/>
      <c r="BC60" s="45"/>
      <c r="BD60" s="45"/>
      <c r="BE60" s="45"/>
      <c r="BF60" s="45"/>
      <c r="BG60" s="45"/>
      <c r="BH60" s="45"/>
      <c r="BI60" s="45"/>
      <c r="BJ60" s="2"/>
    </row>
    <row r="61" spans="1:62" ht="41.45" customHeight="1">
      <c r="A61" s="62" t="s">
        <v>271</v>
      </c>
      <c r="C61" s="63"/>
      <c r="D61" s="63" t="s">
        <v>64</v>
      </c>
      <c r="E61" s="64">
        <v>494.0872843746006</v>
      </c>
      <c r="F61" s="66">
        <v>99.66288790852187</v>
      </c>
      <c r="G61" s="96" t="str">
        <f>HYPERLINK("https://i.ytimg.com/vi/SZMVhcJP87s/default.jpg")</f>
        <v>https://i.ytimg.com/vi/SZMVhcJP87s/default.jpg</v>
      </c>
      <c r="H61" s="63"/>
      <c r="I61" s="67" t="s">
        <v>1797</v>
      </c>
      <c r="J61" s="68"/>
      <c r="K61" s="68" t="s">
        <v>75</v>
      </c>
      <c r="L61" s="47" t="s">
        <v>1893</v>
      </c>
      <c r="M61" s="71">
        <v>92.57249393269592</v>
      </c>
      <c r="N61" s="72">
        <v>1224.422119140625</v>
      </c>
      <c r="O61" s="72">
        <v>1104.7333984375</v>
      </c>
      <c r="P61" s="73"/>
      <c r="Q61" s="74"/>
      <c r="R61" s="74"/>
      <c r="S61" s="82"/>
      <c r="T61" s="45">
        <v>1</v>
      </c>
      <c r="U61" s="45">
        <v>6</v>
      </c>
      <c r="V61" s="46">
        <v>10.301139</v>
      </c>
      <c r="W61" s="46">
        <v>0.386792</v>
      </c>
      <c r="X61" s="46">
        <v>0.032519</v>
      </c>
      <c r="Y61" s="46">
        <v>0.011531</v>
      </c>
      <c r="Z61" s="46">
        <v>0.2619047619047619</v>
      </c>
      <c r="AA61" s="46">
        <v>0</v>
      </c>
      <c r="AB61" s="69">
        <v>61</v>
      </c>
      <c r="AC61" s="69"/>
      <c r="AD61" s="70"/>
      <c r="AE61" s="77" t="s">
        <v>1797</v>
      </c>
      <c r="AF61" s="77" t="s">
        <v>1893</v>
      </c>
      <c r="AG61" s="77" t="s">
        <v>1981</v>
      </c>
      <c r="AH61" s="77" t="s">
        <v>2049</v>
      </c>
      <c r="AI61" s="77" t="s">
        <v>2140</v>
      </c>
      <c r="AJ61" s="77">
        <v>23296</v>
      </c>
      <c r="AK61" s="77">
        <v>43</v>
      </c>
      <c r="AL61" s="77">
        <v>480</v>
      </c>
      <c r="AM61" s="77">
        <v>0</v>
      </c>
      <c r="AN61" s="77" t="s">
        <v>2181</v>
      </c>
      <c r="AO61" s="98" t="str">
        <f>HYPERLINK("https://www.youtube.com/watch?v=SZMVhcJP87s")</f>
        <v>https://www.youtube.com/watch?v=SZMVhcJP87s</v>
      </c>
      <c r="AP61" s="77" t="str">
        <f>REPLACE(INDEX(GroupVertices[Group],MATCH("~"&amp;Vertices[[#This Row],[Vertex]],GroupVertices[Vertex],0)),1,1,"")</f>
        <v>2</v>
      </c>
      <c r="AQ61" s="45">
        <v>1</v>
      </c>
      <c r="AR61" s="46">
        <v>0.9259259259259259</v>
      </c>
      <c r="AS61" s="45">
        <v>0</v>
      </c>
      <c r="AT61" s="46">
        <v>0</v>
      </c>
      <c r="AU61" s="45">
        <v>0</v>
      </c>
      <c r="AV61" s="46">
        <v>0</v>
      </c>
      <c r="AW61" s="45">
        <v>75</v>
      </c>
      <c r="AX61" s="46">
        <v>69.44444444444444</v>
      </c>
      <c r="AY61" s="45">
        <v>108</v>
      </c>
      <c r="AZ61" s="45"/>
      <c r="BA61" s="45"/>
      <c r="BB61" s="45"/>
      <c r="BC61" s="45"/>
      <c r="BD61" s="45"/>
      <c r="BE61" s="45"/>
      <c r="BF61" s="111" t="s">
        <v>1674</v>
      </c>
      <c r="BG61" s="111" t="s">
        <v>1674</v>
      </c>
      <c r="BH61" s="111" t="s">
        <v>1674</v>
      </c>
      <c r="BI61" s="111" t="s">
        <v>1674</v>
      </c>
      <c r="BJ61" s="2"/>
    </row>
    <row r="62" spans="1:62" ht="41.45" customHeight="1">
      <c r="A62" s="62" t="s">
        <v>262</v>
      </c>
      <c r="C62" s="63"/>
      <c r="D62" s="63" t="s">
        <v>64</v>
      </c>
      <c r="E62" s="64">
        <v>368.5584213414538</v>
      </c>
      <c r="F62" s="66">
        <v>99.67877277198512</v>
      </c>
      <c r="G62" s="96" t="str">
        <f>HYPERLINK("https://i.ytimg.com/vi/rPOQqWWVUwY/default.jpg")</f>
        <v>https://i.ytimg.com/vi/rPOQqWWVUwY/default.jpg</v>
      </c>
      <c r="H62" s="63"/>
      <c r="I62" s="67" t="s">
        <v>1787</v>
      </c>
      <c r="J62" s="68"/>
      <c r="K62" s="68" t="s">
        <v>75</v>
      </c>
      <c r="L62" s="47" t="s">
        <v>1883</v>
      </c>
      <c r="M62" s="71">
        <v>28.87456207122792</v>
      </c>
      <c r="N62" s="72">
        <v>9377.19140625</v>
      </c>
      <c r="O62" s="72">
        <v>538.8240356445312</v>
      </c>
      <c r="P62" s="73"/>
      <c r="Q62" s="74"/>
      <c r="R62" s="74"/>
      <c r="S62" s="82"/>
      <c r="T62" s="45">
        <v>1</v>
      </c>
      <c r="U62" s="45">
        <v>2</v>
      </c>
      <c r="V62" s="46">
        <v>9.815745</v>
      </c>
      <c r="W62" s="46">
        <v>0.367713</v>
      </c>
      <c r="X62" s="46">
        <v>0.01814</v>
      </c>
      <c r="Y62" s="46">
        <v>0.011014</v>
      </c>
      <c r="Z62" s="46">
        <v>0.16666666666666666</v>
      </c>
      <c r="AA62" s="46">
        <v>0</v>
      </c>
      <c r="AB62" s="69">
        <v>62</v>
      </c>
      <c r="AC62" s="69"/>
      <c r="AD62" s="70"/>
      <c r="AE62" s="77" t="s">
        <v>1787</v>
      </c>
      <c r="AF62" s="77" t="s">
        <v>1883</v>
      </c>
      <c r="AG62" s="77" t="s">
        <v>1972</v>
      </c>
      <c r="AH62" s="77" t="s">
        <v>2051</v>
      </c>
      <c r="AI62" s="77" t="s">
        <v>2130</v>
      </c>
      <c r="AJ62" s="77">
        <v>7293</v>
      </c>
      <c r="AK62" s="77">
        <v>8</v>
      </c>
      <c r="AL62" s="77">
        <v>86</v>
      </c>
      <c r="AM62" s="77">
        <v>0</v>
      </c>
      <c r="AN62" s="77" t="s">
        <v>2181</v>
      </c>
      <c r="AO62" s="98" t="str">
        <f>HYPERLINK("https://www.youtube.com/watch?v=rPOQqWWVUwY")</f>
        <v>https://www.youtube.com/watch?v=rPOQqWWVUwY</v>
      </c>
      <c r="AP62" s="77" t="str">
        <f>REPLACE(INDEX(GroupVertices[Group],MATCH("~"&amp;Vertices[[#This Row],[Vertex]],GroupVertices[Vertex],0)),1,1,"")</f>
        <v>8</v>
      </c>
      <c r="AQ62" s="45">
        <v>10</v>
      </c>
      <c r="AR62" s="46">
        <v>5.1020408163265305</v>
      </c>
      <c r="AS62" s="45">
        <v>0</v>
      </c>
      <c r="AT62" s="46">
        <v>0</v>
      </c>
      <c r="AU62" s="45">
        <v>0</v>
      </c>
      <c r="AV62" s="46">
        <v>0</v>
      </c>
      <c r="AW62" s="45">
        <v>115</v>
      </c>
      <c r="AX62" s="46">
        <v>58.673469387755105</v>
      </c>
      <c r="AY62" s="45">
        <v>196</v>
      </c>
      <c r="AZ62" s="45"/>
      <c r="BA62" s="45"/>
      <c r="BB62" s="45"/>
      <c r="BC62" s="45"/>
      <c r="BD62" s="45"/>
      <c r="BE62" s="45"/>
      <c r="BF62" s="111" t="s">
        <v>1674</v>
      </c>
      <c r="BG62" s="111" t="s">
        <v>1674</v>
      </c>
      <c r="BH62" s="111" t="s">
        <v>1674</v>
      </c>
      <c r="BI62" s="111" t="s">
        <v>1674</v>
      </c>
      <c r="BJ62" s="2"/>
    </row>
    <row r="63" spans="1:62" ht="41.45" customHeight="1">
      <c r="A63" s="62" t="s">
        <v>244</v>
      </c>
      <c r="C63" s="63"/>
      <c r="D63" s="63" t="s">
        <v>64</v>
      </c>
      <c r="E63" s="64">
        <v>612.0664785237848</v>
      </c>
      <c r="F63" s="66">
        <v>99.6798312523616</v>
      </c>
      <c r="G63" s="96" t="str">
        <f>HYPERLINK("https://i.ytimg.com/vi/eTDz3aGc1TQ/default.jpg")</f>
        <v>https://i.ytimg.com/vi/eTDz3aGc1TQ/default.jpg</v>
      </c>
      <c r="H63" s="63"/>
      <c r="I63" s="67" t="s">
        <v>1772</v>
      </c>
      <c r="J63" s="68"/>
      <c r="K63" s="68" t="s">
        <v>75</v>
      </c>
      <c r="L63" s="47" t="s">
        <v>1868</v>
      </c>
      <c r="M63" s="71">
        <v>276.0597939983056</v>
      </c>
      <c r="N63" s="72">
        <v>8826.134765625</v>
      </c>
      <c r="O63" s="72">
        <v>9269.9091796875</v>
      </c>
      <c r="P63" s="73"/>
      <c r="Q63" s="74"/>
      <c r="R63" s="74"/>
      <c r="S63" s="82"/>
      <c r="T63" s="45">
        <v>2</v>
      </c>
      <c r="U63" s="45">
        <v>6</v>
      </c>
      <c r="V63" s="46">
        <v>9.783401</v>
      </c>
      <c r="W63" s="46">
        <v>0.438503</v>
      </c>
      <c r="X63" s="46">
        <v>0.05963</v>
      </c>
      <c r="Y63" s="46">
        <v>0.011217</v>
      </c>
      <c r="Z63" s="46">
        <v>0.26785714285714285</v>
      </c>
      <c r="AA63" s="46">
        <v>0</v>
      </c>
      <c r="AB63" s="69">
        <v>63</v>
      </c>
      <c r="AC63" s="69"/>
      <c r="AD63" s="70"/>
      <c r="AE63" s="77" t="s">
        <v>1772</v>
      </c>
      <c r="AF63" s="77" t="s">
        <v>1868</v>
      </c>
      <c r="AG63" s="77" t="s">
        <v>1961</v>
      </c>
      <c r="AH63" s="77" t="s">
        <v>2044</v>
      </c>
      <c r="AI63" s="77" t="s">
        <v>2115</v>
      </c>
      <c r="AJ63" s="77">
        <v>69394</v>
      </c>
      <c r="AK63" s="77">
        <v>375</v>
      </c>
      <c r="AL63" s="77">
        <v>4680</v>
      </c>
      <c r="AM63" s="77">
        <v>0</v>
      </c>
      <c r="AN63" s="77" t="s">
        <v>2181</v>
      </c>
      <c r="AO63" s="98" t="str">
        <f>HYPERLINK("https://www.youtube.com/watch?v=eTDz3aGc1TQ")</f>
        <v>https://www.youtube.com/watch?v=eTDz3aGc1TQ</v>
      </c>
      <c r="AP63" s="77" t="str">
        <f>REPLACE(INDEX(GroupVertices[Group],MATCH("~"&amp;Vertices[[#This Row],[Vertex]],GroupVertices[Vertex],0)),1,1,"")</f>
        <v>5</v>
      </c>
      <c r="AQ63" s="45">
        <v>5</v>
      </c>
      <c r="AR63" s="46">
        <v>2.5906735751295336</v>
      </c>
      <c r="AS63" s="45">
        <v>3</v>
      </c>
      <c r="AT63" s="46">
        <v>1.5544041450777202</v>
      </c>
      <c r="AU63" s="45">
        <v>1</v>
      </c>
      <c r="AV63" s="46">
        <v>0.5181347150259067</v>
      </c>
      <c r="AW63" s="45">
        <v>141</v>
      </c>
      <c r="AX63" s="46">
        <v>73.05699481865285</v>
      </c>
      <c r="AY63" s="45">
        <v>193</v>
      </c>
      <c r="AZ63" s="45"/>
      <c r="BA63" s="45"/>
      <c r="BB63" s="45"/>
      <c r="BC63" s="45"/>
      <c r="BD63" s="45"/>
      <c r="BE63" s="45"/>
      <c r="BF63" s="111" t="s">
        <v>1674</v>
      </c>
      <c r="BG63" s="111" t="s">
        <v>1674</v>
      </c>
      <c r="BH63" s="111" t="s">
        <v>1674</v>
      </c>
      <c r="BI63" s="111" t="s">
        <v>1674</v>
      </c>
      <c r="BJ63" s="2"/>
    </row>
    <row r="64" spans="1:62" ht="41.45" customHeight="1">
      <c r="A64" s="62" t="s">
        <v>300</v>
      </c>
      <c r="C64" s="63"/>
      <c r="D64" s="63" t="s">
        <v>64</v>
      </c>
      <c r="E64" s="64">
        <v>406.6365975573713</v>
      </c>
      <c r="F64" s="66">
        <v>99.75071972263991</v>
      </c>
      <c r="G64" s="96" t="str">
        <f>HYPERLINK("https://i.ytimg.com/vi/bdboEE-b_x0/default.jpg")</f>
        <v>https://i.ytimg.com/vi/bdboEE-b_x0/default.jpg</v>
      </c>
      <c r="H64" s="63"/>
      <c r="I64" s="67" t="s">
        <v>1798</v>
      </c>
      <c r="J64" s="68"/>
      <c r="K64" s="68" t="s">
        <v>75</v>
      </c>
      <c r="L64" s="47" t="s">
        <v>1894</v>
      </c>
      <c r="M64" s="71">
        <v>41.1341152883323</v>
      </c>
      <c r="N64" s="72">
        <v>1175.15380859375</v>
      </c>
      <c r="O64" s="72">
        <v>184.52879333496094</v>
      </c>
      <c r="P64" s="73"/>
      <c r="Q64" s="74"/>
      <c r="R64" s="74"/>
      <c r="S64" s="82"/>
      <c r="T64" s="45">
        <v>5</v>
      </c>
      <c r="U64" s="45">
        <v>0</v>
      </c>
      <c r="V64" s="46">
        <v>7.617261</v>
      </c>
      <c r="W64" s="46">
        <v>0.383178</v>
      </c>
      <c r="X64" s="46">
        <v>0.025526</v>
      </c>
      <c r="Y64" s="46">
        <v>0.011066</v>
      </c>
      <c r="Z64" s="46">
        <v>0.3</v>
      </c>
      <c r="AA64" s="46">
        <v>0</v>
      </c>
      <c r="AB64" s="69">
        <v>64</v>
      </c>
      <c r="AC64" s="69"/>
      <c r="AD64" s="70"/>
      <c r="AE64" s="77" t="s">
        <v>1798</v>
      </c>
      <c r="AF64" s="77" t="s">
        <v>1894</v>
      </c>
      <c r="AG64" s="77" t="s">
        <v>1982</v>
      </c>
      <c r="AH64" s="77" t="s">
        <v>2055</v>
      </c>
      <c r="AI64" s="77" t="s">
        <v>2141</v>
      </c>
      <c r="AJ64" s="77">
        <v>10373</v>
      </c>
      <c r="AK64" s="77">
        <v>42</v>
      </c>
      <c r="AL64" s="77">
        <v>502</v>
      </c>
      <c r="AM64" s="77">
        <v>0</v>
      </c>
      <c r="AN64" s="77" t="s">
        <v>2181</v>
      </c>
      <c r="AO64" s="98" t="str">
        <f>HYPERLINK("https://www.youtube.com/watch?v=bdboEE-b_x0")</f>
        <v>https://www.youtube.com/watch?v=bdboEE-b_x0</v>
      </c>
      <c r="AP64" s="77" t="str">
        <f>REPLACE(INDEX(GroupVertices[Group],MATCH("~"&amp;Vertices[[#This Row],[Vertex]],GroupVertices[Vertex],0)),1,1,"")</f>
        <v>2</v>
      </c>
      <c r="AQ64" s="45">
        <v>0</v>
      </c>
      <c r="AR64" s="46">
        <v>0</v>
      </c>
      <c r="AS64" s="45">
        <v>0</v>
      </c>
      <c r="AT64" s="46">
        <v>0</v>
      </c>
      <c r="AU64" s="45">
        <v>0</v>
      </c>
      <c r="AV64" s="46">
        <v>0</v>
      </c>
      <c r="AW64" s="45">
        <v>88</v>
      </c>
      <c r="AX64" s="46">
        <v>84.61538461538461</v>
      </c>
      <c r="AY64" s="45">
        <v>104</v>
      </c>
      <c r="AZ64" s="45"/>
      <c r="BA64" s="45"/>
      <c r="BB64" s="45"/>
      <c r="BC64" s="45"/>
      <c r="BD64" s="45"/>
      <c r="BE64" s="45"/>
      <c r="BF64" s="45"/>
      <c r="BG64" s="45"/>
      <c r="BH64" s="45"/>
      <c r="BI64" s="45"/>
      <c r="BJ64" s="2"/>
    </row>
    <row r="65" spans="1:62" ht="41.45" customHeight="1">
      <c r="A65" s="62" t="s">
        <v>298</v>
      </c>
      <c r="C65" s="63"/>
      <c r="D65" s="63" t="s">
        <v>64</v>
      </c>
      <c r="E65" s="64">
        <v>512.6464662190401</v>
      </c>
      <c r="F65" s="66">
        <v>99.7644244647292</v>
      </c>
      <c r="G65" s="96" t="str">
        <f>HYPERLINK("https://i.ytimg.com/vi/aslbdFLvxvg/default.jpg")</f>
        <v>https://i.ytimg.com/vi/aslbdFLvxvg/default.jpg</v>
      </c>
      <c r="H65" s="63"/>
      <c r="I65" s="67" t="s">
        <v>1788</v>
      </c>
      <c r="J65" s="68"/>
      <c r="K65" s="68" t="s">
        <v>75</v>
      </c>
      <c r="L65" s="47" t="s">
        <v>1884</v>
      </c>
      <c r="M65" s="71">
        <v>109.94284790654122</v>
      </c>
      <c r="N65" s="72">
        <v>9870.16015625</v>
      </c>
      <c r="O65" s="72">
        <v>8180.591796875</v>
      </c>
      <c r="P65" s="73"/>
      <c r="Q65" s="74"/>
      <c r="R65" s="74"/>
      <c r="S65" s="82"/>
      <c r="T65" s="45">
        <v>8</v>
      </c>
      <c r="U65" s="45">
        <v>0</v>
      </c>
      <c r="V65" s="46">
        <v>7.198485</v>
      </c>
      <c r="W65" s="46">
        <v>0.429319</v>
      </c>
      <c r="X65" s="46">
        <v>0.080834</v>
      </c>
      <c r="Y65" s="46">
        <v>0.011082</v>
      </c>
      <c r="Z65" s="46">
        <v>0.35714285714285715</v>
      </c>
      <c r="AA65" s="46">
        <v>0</v>
      </c>
      <c r="AB65" s="69">
        <v>65</v>
      </c>
      <c r="AC65" s="69"/>
      <c r="AD65" s="70"/>
      <c r="AE65" s="77" t="s">
        <v>1788</v>
      </c>
      <c r="AF65" s="77" t="s">
        <v>1884</v>
      </c>
      <c r="AG65" s="77" t="s">
        <v>1973</v>
      </c>
      <c r="AH65" s="77" t="s">
        <v>2052</v>
      </c>
      <c r="AI65" s="77" t="s">
        <v>2131</v>
      </c>
      <c r="AJ65" s="77">
        <v>27660</v>
      </c>
      <c r="AK65" s="77">
        <v>131</v>
      </c>
      <c r="AL65" s="77">
        <v>788</v>
      </c>
      <c r="AM65" s="77">
        <v>0</v>
      </c>
      <c r="AN65" s="77" t="s">
        <v>2181</v>
      </c>
      <c r="AO65" s="98" t="str">
        <f>HYPERLINK("https://www.youtube.com/watch?v=aslbdFLvxvg")</f>
        <v>https://www.youtube.com/watch?v=aslbdFLvxvg</v>
      </c>
      <c r="AP65" s="77" t="str">
        <f>REPLACE(INDEX(GroupVertices[Group],MATCH("~"&amp;Vertices[[#This Row],[Vertex]],GroupVertices[Vertex],0)),1,1,"")</f>
        <v>5</v>
      </c>
      <c r="AQ65" s="45">
        <v>0</v>
      </c>
      <c r="AR65" s="46">
        <v>0</v>
      </c>
      <c r="AS65" s="45">
        <v>3</v>
      </c>
      <c r="AT65" s="46">
        <v>8.571428571428571</v>
      </c>
      <c r="AU65" s="45">
        <v>0</v>
      </c>
      <c r="AV65" s="46">
        <v>0</v>
      </c>
      <c r="AW65" s="45">
        <v>23</v>
      </c>
      <c r="AX65" s="46">
        <v>65.71428571428571</v>
      </c>
      <c r="AY65" s="45">
        <v>35</v>
      </c>
      <c r="AZ65" s="45"/>
      <c r="BA65" s="45"/>
      <c r="BB65" s="45"/>
      <c r="BC65" s="45"/>
      <c r="BD65" s="45"/>
      <c r="BE65" s="45"/>
      <c r="BF65" s="45"/>
      <c r="BG65" s="45"/>
      <c r="BH65" s="45"/>
      <c r="BI65" s="45"/>
      <c r="BJ65" s="2"/>
    </row>
    <row r="66" spans="1:62" ht="41.45" customHeight="1">
      <c r="A66" s="62" t="s">
        <v>250</v>
      </c>
      <c r="C66" s="63"/>
      <c r="D66" s="63" t="s">
        <v>64</v>
      </c>
      <c r="E66" s="64">
        <v>601.8546599694635</v>
      </c>
      <c r="F66" s="66">
        <v>99.77321354331401</v>
      </c>
      <c r="G66" s="96" t="str">
        <f>HYPERLINK("https://i.ytimg.com/vi/7uN5CWl2kSg/default.jpg")</f>
        <v>https://i.ytimg.com/vi/7uN5CWl2kSg/default.jpg</v>
      </c>
      <c r="H66" s="63"/>
      <c r="I66" s="67" t="s">
        <v>1775</v>
      </c>
      <c r="J66" s="68"/>
      <c r="K66" s="68" t="s">
        <v>75</v>
      </c>
      <c r="L66" s="47" t="s">
        <v>1871</v>
      </c>
      <c r="M66" s="71">
        <v>251.1585716196676</v>
      </c>
      <c r="N66" s="72">
        <v>1931.9434814453125</v>
      </c>
      <c r="O66" s="72">
        <v>4399.16650390625</v>
      </c>
      <c r="P66" s="73"/>
      <c r="Q66" s="74"/>
      <c r="R66" s="74"/>
      <c r="S66" s="82"/>
      <c r="T66" s="45">
        <v>6</v>
      </c>
      <c r="U66" s="45">
        <v>1</v>
      </c>
      <c r="V66" s="46">
        <v>6.929917</v>
      </c>
      <c r="W66" s="46">
        <v>0.427083</v>
      </c>
      <c r="X66" s="46">
        <v>0.066594</v>
      </c>
      <c r="Y66" s="46">
        <v>0.011001</v>
      </c>
      <c r="Z66" s="46">
        <v>0.2619047619047619</v>
      </c>
      <c r="AA66" s="46">
        <v>0</v>
      </c>
      <c r="AB66" s="69">
        <v>66</v>
      </c>
      <c r="AC66" s="69"/>
      <c r="AD66" s="70"/>
      <c r="AE66" s="77" t="s">
        <v>1775</v>
      </c>
      <c r="AF66" s="77" t="s">
        <v>1871</v>
      </c>
      <c r="AG66" s="77" t="s">
        <v>1964</v>
      </c>
      <c r="AH66" s="77" t="s">
        <v>2045</v>
      </c>
      <c r="AI66" s="77" t="s">
        <v>2118</v>
      </c>
      <c r="AJ66" s="77">
        <v>63138</v>
      </c>
      <c r="AK66" s="77">
        <v>28</v>
      </c>
      <c r="AL66" s="77">
        <v>914</v>
      </c>
      <c r="AM66" s="77">
        <v>0</v>
      </c>
      <c r="AN66" s="77" t="s">
        <v>2181</v>
      </c>
      <c r="AO66" s="98" t="str">
        <f>HYPERLINK("https://www.youtube.com/watch?v=7uN5CWl2kSg")</f>
        <v>https://www.youtube.com/watch?v=7uN5CWl2kSg</v>
      </c>
      <c r="AP66" s="77" t="str">
        <f>REPLACE(INDEX(GroupVertices[Group],MATCH("~"&amp;Vertices[[#This Row],[Vertex]],GroupVertices[Vertex],0)),1,1,"")</f>
        <v>1</v>
      </c>
      <c r="AQ66" s="45">
        <v>6</v>
      </c>
      <c r="AR66" s="46">
        <v>2.3255813953488373</v>
      </c>
      <c r="AS66" s="45">
        <v>1</v>
      </c>
      <c r="AT66" s="46">
        <v>0.3875968992248062</v>
      </c>
      <c r="AU66" s="45">
        <v>0</v>
      </c>
      <c r="AV66" s="46">
        <v>0</v>
      </c>
      <c r="AW66" s="45">
        <v>180</v>
      </c>
      <c r="AX66" s="46">
        <v>69.76744186046511</v>
      </c>
      <c r="AY66" s="45">
        <v>258</v>
      </c>
      <c r="AZ66" s="45"/>
      <c r="BA66" s="45"/>
      <c r="BB66" s="45"/>
      <c r="BC66" s="45"/>
      <c r="BD66" s="45"/>
      <c r="BE66" s="45"/>
      <c r="BF66" s="111" t="s">
        <v>1674</v>
      </c>
      <c r="BG66" s="111" t="s">
        <v>1674</v>
      </c>
      <c r="BH66" s="111" t="s">
        <v>1674</v>
      </c>
      <c r="BI66" s="111" t="s">
        <v>1674</v>
      </c>
      <c r="BJ66" s="2"/>
    </row>
    <row r="67" spans="1:62" ht="41.45" customHeight="1">
      <c r="A67" s="62" t="s">
        <v>252</v>
      </c>
      <c r="C67" s="63"/>
      <c r="D67" s="63" t="s">
        <v>64</v>
      </c>
      <c r="E67" s="64">
        <v>376.1825177900955</v>
      </c>
      <c r="F67" s="66">
        <v>99.82980670333357</v>
      </c>
      <c r="G67" s="96" t="str">
        <f>HYPERLINK("https://i.ytimg.com/vi/K-_qencWHxA/default.jpg")</f>
        <v>https://i.ytimg.com/vi/K-_qencWHxA/default.jpg</v>
      </c>
      <c r="H67" s="63"/>
      <c r="I67" s="67" t="s">
        <v>1777</v>
      </c>
      <c r="J67" s="68"/>
      <c r="K67" s="68" t="s">
        <v>75</v>
      </c>
      <c r="L67" s="47" t="s">
        <v>1873</v>
      </c>
      <c r="M67" s="71">
        <v>30.99610163769436</v>
      </c>
      <c r="N67" s="72">
        <v>926.156982421875</v>
      </c>
      <c r="O67" s="72">
        <v>9441.845703125</v>
      </c>
      <c r="P67" s="73"/>
      <c r="Q67" s="74"/>
      <c r="R67" s="74"/>
      <c r="S67" s="82"/>
      <c r="T67" s="45">
        <v>3</v>
      </c>
      <c r="U67" s="45">
        <v>2</v>
      </c>
      <c r="V67" s="46">
        <v>5.200599</v>
      </c>
      <c r="W67" s="46">
        <v>0.40796</v>
      </c>
      <c r="X67" s="46">
        <v>0.042331</v>
      </c>
      <c r="Y67" s="46">
        <v>0.010835</v>
      </c>
      <c r="Z67" s="46">
        <v>0.2</v>
      </c>
      <c r="AA67" s="46">
        <v>0</v>
      </c>
      <c r="AB67" s="69">
        <v>67</v>
      </c>
      <c r="AC67" s="69"/>
      <c r="AD67" s="70"/>
      <c r="AE67" s="77" t="s">
        <v>1777</v>
      </c>
      <c r="AF67" s="77" t="s">
        <v>1873</v>
      </c>
      <c r="AG67" s="77" t="s">
        <v>1966</v>
      </c>
      <c r="AH67" s="77" t="s">
        <v>2046</v>
      </c>
      <c r="AI67" s="77" t="s">
        <v>2120</v>
      </c>
      <c r="AJ67" s="77">
        <v>7826</v>
      </c>
      <c r="AK67" s="77">
        <v>42</v>
      </c>
      <c r="AL67" s="77">
        <v>316</v>
      </c>
      <c r="AM67" s="77">
        <v>0</v>
      </c>
      <c r="AN67" s="77" t="s">
        <v>2181</v>
      </c>
      <c r="AO67" s="98" t="str">
        <f>HYPERLINK("https://www.youtube.com/watch?v=K-_qencWHxA")</f>
        <v>https://www.youtube.com/watch?v=K-_qencWHxA</v>
      </c>
      <c r="AP67" s="77" t="str">
        <f>REPLACE(INDEX(GroupVertices[Group],MATCH("~"&amp;Vertices[[#This Row],[Vertex]],GroupVertices[Vertex],0)),1,1,"")</f>
        <v>1</v>
      </c>
      <c r="AQ67" s="45">
        <v>2</v>
      </c>
      <c r="AR67" s="46">
        <v>3.076923076923077</v>
      </c>
      <c r="AS67" s="45">
        <v>1</v>
      </c>
      <c r="AT67" s="46">
        <v>1.5384615384615385</v>
      </c>
      <c r="AU67" s="45">
        <v>0</v>
      </c>
      <c r="AV67" s="46">
        <v>0</v>
      </c>
      <c r="AW67" s="45">
        <v>37</v>
      </c>
      <c r="AX67" s="46">
        <v>56.92307692307692</v>
      </c>
      <c r="AY67" s="45">
        <v>65</v>
      </c>
      <c r="AZ67" s="45"/>
      <c r="BA67" s="45"/>
      <c r="BB67" s="45"/>
      <c r="BC67" s="45"/>
      <c r="BD67" s="45"/>
      <c r="BE67" s="45"/>
      <c r="BF67" s="111" t="s">
        <v>1674</v>
      </c>
      <c r="BG67" s="111" t="s">
        <v>1674</v>
      </c>
      <c r="BH67" s="111" t="s">
        <v>1674</v>
      </c>
      <c r="BI67" s="111" t="s">
        <v>1674</v>
      </c>
      <c r="BJ67" s="2"/>
    </row>
    <row r="68" spans="1:62" ht="41.45" customHeight="1">
      <c r="A68" s="62" t="s">
        <v>274</v>
      </c>
      <c r="C68" s="63"/>
      <c r="D68" s="63" t="s">
        <v>64</v>
      </c>
      <c r="E68" s="64">
        <v>428.5810470647884</v>
      </c>
      <c r="F68" s="66">
        <v>99.86940592556518</v>
      </c>
      <c r="G68" s="96" t="str">
        <f>HYPERLINK("https://i.ytimg.com/vi/ritJzBKCGh0/default.jpg")</f>
        <v>https://i.ytimg.com/vi/ritJzBKCGh0/default.jpg</v>
      </c>
      <c r="H68" s="63"/>
      <c r="I68" s="67" t="s">
        <v>1801</v>
      </c>
      <c r="J68" s="68"/>
      <c r="K68" s="68" t="s">
        <v>75</v>
      </c>
      <c r="L68" s="47" t="s">
        <v>1897</v>
      </c>
      <c r="M68" s="71">
        <v>50.428289561689034</v>
      </c>
      <c r="N68" s="72">
        <v>8029.0458984375</v>
      </c>
      <c r="O68" s="72">
        <v>4281.06787109375</v>
      </c>
      <c r="P68" s="73"/>
      <c r="Q68" s="74"/>
      <c r="R68" s="74"/>
      <c r="S68" s="82"/>
      <c r="T68" s="45">
        <v>2</v>
      </c>
      <c r="U68" s="45">
        <v>1</v>
      </c>
      <c r="V68" s="46">
        <v>3.990565</v>
      </c>
      <c r="W68" s="46">
        <v>0.388626</v>
      </c>
      <c r="X68" s="46">
        <v>0.021837</v>
      </c>
      <c r="Y68" s="46">
        <v>0.010604</v>
      </c>
      <c r="Z68" s="46">
        <v>0</v>
      </c>
      <c r="AA68" s="46">
        <v>0</v>
      </c>
      <c r="AB68" s="69">
        <v>68</v>
      </c>
      <c r="AC68" s="69"/>
      <c r="AD68" s="70"/>
      <c r="AE68" s="77" t="s">
        <v>1801</v>
      </c>
      <c r="AF68" s="77" t="s">
        <v>1897</v>
      </c>
      <c r="AG68" s="77" t="s">
        <v>1985</v>
      </c>
      <c r="AH68" s="77" t="s">
        <v>2056</v>
      </c>
      <c r="AI68" s="77" t="s">
        <v>2144</v>
      </c>
      <c r="AJ68" s="77">
        <v>12708</v>
      </c>
      <c r="AK68" s="77">
        <v>39</v>
      </c>
      <c r="AL68" s="77">
        <v>253</v>
      </c>
      <c r="AM68" s="77">
        <v>0</v>
      </c>
      <c r="AN68" s="77" t="s">
        <v>2181</v>
      </c>
      <c r="AO68" s="98" t="str">
        <f>HYPERLINK("https://www.youtube.com/watch?v=ritJzBKCGh0")</f>
        <v>https://www.youtube.com/watch?v=ritJzBKCGh0</v>
      </c>
      <c r="AP68" s="77" t="str">
        <f>REPLACE(INDEX(GroupVertices[Group],MATCH("~"&amp;Vertices[[#This Row],[Vertex]],GroupVertices[Vertex],0)),1,1,"")</f>
        <v>6</v>
      </c>
      <c r="AQ68" s="45">
        <v>5</v>
      </c>
      <c r="AR68" s="46">
        <v>2.380952380952381</v>
      </c>
      <c r="AS68" s="45">
        <v>3</v>
      </c>
      <c r="AT68" s="46">
        <v>1.4285714285714286</v>
      </c>
      <c r="AU68" s="45">
        <v>0</v>
      </c>
      <c r="AV68" s="46">
        <v>0</v>
      </c>
      <c r="AW68" s="45">
        <v>148</v>
      </c>
      <c r="AX68" s="46">
        <v>70.47619047619048</v>
      </c>
      <c r="AY68" s="45">
        <v>210</v>
      </c>
      <c r="AZ68" s="45"/>
      <c r="BA68" s="45"/>
      <c r="BB68" s="45"/>
      <c r="BC68" s="45"/>
      <c r="BD68" s="45"/>
      <c r="BE68" s="45"/>
      <c r="BF68" s="111" t="s">
        <v>1674</v>
      </c>
      <c r="BG68" s="111" t="s">
        <v>1674</v>
      </c>
      <c r="BH68" s="111" t="s">
        <v>1674</v>
      </c>
      <c r="BI68" s="111" t="s">
        <v>1674</v>
      </c>
      <c r="BJ68" s="2"/>
    </row>
    <row r="69" spans="1:62" ht="41.45" customHeight="1">
      <c r="A69" s="62" t="s">
        <v>276</v>
      </c>
      <c r="C69" s="63"/>
      <c r="D69" s="63" t="s">
        <v>64</v>
      </c>
      <c r="E69" s="64">
        <v>439.29343012958356</v>
      </c>
      <c r="F69" s="66">
        <v>99.95703320399336</v>
      </c>
      <c r="G69" s="96" t="str">
        <f>HYPERLINK("https://i.ytimg.com/vi/TTyoth20rNk/default.jpg")</f>
        <v>https://i.ytimg.com/vi/TTyoth20rNk/default.jpg</v>
      </c>
      <c r="H69" s="63"/>
      <c r="I69" s="67" t="s">
        <v>1804</v>
      </c>
      <c r="J69" s="68"/>
      <c r="K69" s="68" t="s">
        <v>75</v>
      </c>
      <c r="L69" s="47" t="s">
        <v>1900</v>
      </c>
      <c r="M69" s="71">
        <v>55.69830529527547</v>
      </c>
      <c r="N69" s="72">
        <v>382.0314025878906</v>
      </c>
      <c r="O69" s="72">
        <v>5645.916015625</v>
      </c>
      <c r="P69" s="73"/>
      <c r="Q69" s="74"/>
      <c r="R69" s="74"/>
      <c r="S69" s="82"/>
      <c r="T69" s="45">
        <v>1</v>
      </c>
      <c r="U69" s="45">
        <v>7</v>
      </c>
      <c r="V69" s="46">
        <v>1.312937</v>
      </c>
      <c r="W69" s="46">
        <v>0.445652</v>
      </c>
      <c r="X69" s="46">
        <v>0.080781</v>
      </c>
      <c r="Y69" s="46">
        <v>0.011075</v>
      </c>
      <c r="Z69" s="46">
        <v>0.44642857142857145</v>
      </c>
      <c r="AA69" s="46">
        <v>0</v>
      </c>
      <c r="AB69" s="69">
        <v>69</v>
      </c>
      <c r="AC69" s="69"/>
      <c r="AD69" s="70"/>
      <c r="AE69" s="77" t="s">
        <v>1804</v>
      </c>
      <c r="AF69" s="77" t="s">
        <v>1900</v>
      </c>
      <c r="AG69" s="77" t="s">
        <v>1987</v>
      </c>
      <c r="AH69" s="77" t="s">
        <v>2058</v>
      </c>
      <c r="AI69" s="77" t="s">
        <v>2147</v>
      </c>
      <c r="AJ69" s="77">
        <v>14032</v>
      </c>
      <c r="AK69" s="77">
        <v>12</v>
      </c>
      <c r="AL69" s="77">
        <v>183</v>
      </c>
      <c r="AM69" s="77">
        <v>0</v>
      </c>
      <c r="AN69" s="77" t="s">
        <v>2181</v>
      </c>
      <c r="AO69" s="98" t="str">
        <f>HYPERLINK("https://www.youtube.com/watch?v=TTyoth20rNk")</f>
        <v>https://www.youtube.com/watch?v=TTyoth20rNk</v>
      </c>
      <c r="AP69" s="77" t="str">
        <f>REPLACE(INDEX(GroupVertices[Group],MATCH("~"&amp;Vertices[[#This Row],[Vertex]],GroupVertices[Vertex],0)),1,1,"")</f>
        <v>1</v>
      </c>
      <c r="AQ69" s="45">
        <v>9</v>
      </c>
      <c r="AR69" s="46">
        <v>5.389221556886228</v>
      </c>
      <c r="AS69" s="45">
        <v>1</v>
      </c>
      <c r="AT69" s="46">
        <v>0.5988023952095808</v>
      </c>
      <c r="AU69" s="45">
        <v>0</v>
      </c>
      <c r="AV69" s="46">
        <v>0</v>
      </c>
      <c r="AW69" s="45">
        <v>104</v>
      </c>
      <c r="AX69" s="46">
        <v>62.275449101796404</v>
      </c>
      <c r="AY69" s="45">
        <v>167</v>
      </c>
      <c r="AZ69" s="45"/>
      <c r="BA69" s="45"/>
      <c r="BB69" s="45"/>
      <c r="BC69" s="45"/>
      <c r="BD69" s="45"/>
      <c r="BE69" s="45"/>
      <c r="BF69" s="111" t="s">
        <v>1674</v>
      </c>
      <c r="BG69" s="111" t="s">
        <v>1674</v>
      </c>
      <c r="BH69" s="111" t="s">
        <v>1674</v>
      </c>
      <c r="BI69" s="111" t="s">
        <v>1674</v>
      </c>
      <c r="BJ69" s="2"/>
    </row>
    <row r="70" spans="1:62" ht="41.45" customHeight="1">
      <c r="A70" s="62" t="s">
        <v>222</v>
      </c>
      <c r="C70" s="63"/>
      <c r="D70" s="63" t="s">
        <v>64</v>
      </c>
      <c r="E70" s="64">
        <v>434.408904356383</v>
      </c>
      <c r="F70" s="66">
        <v>99.96101752650618</v>
      </c>
      <c r="G70" s="96" t="str">
        <f>HYPERLINK("https://i.ytimg.com/vi/ElIdKs4dbYs/default.jpg")</f>
        <v>https://i.ytimg.com/vi/ElIdKs4dbYs/default.jpg</v>
      </c>
      <c r="H70" s="63"/>
      <c r="I70" s="67" t="s">
        <v>1837</v>
      </c>
      <c r="J70" s="68"/>
      <c r="K70" s="68" t="s">
        <v>75</v>
      </c>
      <c r="L70" s="47" t="s">
        <v>1933</v>
      </c>
      <c r="M70" s="71">
        <v>53.230473154170035</v>
      </c>
      <c r="N70" s="72">
        <v>7669.85205078125</v>
      </c>
      <c r="O70" s="72">
        <v>9456.0869140625</v>
      </c>
      <c r="P70" s="73"/>
      <c r="Q70" s="74"/>
      <c r="R70" s="74"/>
      <c r="S70" s="45"/>
      <c r="T70" s="45">
        <v>0</v>
      </c>
      <c r="U70" s="45">
        <v>2</v>
      </c>
      <c r="V70" s="46">
        <v>1.191188</v>
      </c>
      <c r="W70" s="46">
        <v>0.354978</v>
      </c>
      <c r="X70" s="46">
        <v>0.010767</v>
      </c>
      <c r="Y70" s="46">
        <v>0.010535</v>
      </c>
      <c r="Z70" s="46">
        <v>0</v>
      </c>
      <c r="AA70" s="46">
        <v>0</v>
      </c>
      <c r="AB70" s="69">
        <v>70</v>
      </c>
      <c r="AC70" s="69"/>
      <c r="AD70" s="70"/>
      <c r="AE70" s="77" t="s">
        <v>1837</v>
      </c>
      <c r="AF70" s="77" t="s">
        <v>1933</v>
      </c>
      <c r="AG70" s="77" t="s">
        <v>2017</v>
      </c>
      <c r="AH70" s="77" t="s">
        <v>2082</v>
      </c>
      <c r="AI70" s="77" t="s">
        <v>2180</v>
      </c>
      <c r="AJ70" s="77">
        <v>13412</v>
      </c>
      <c r="AK70" s="77">
        <v>142</v>
      </c>
      <c r="AL70" s="77">
        <v>738</v>
      </c>
      <c r="AM70" s="77">
        <v>0</v>
      </c>
      <c r="AN70" s="77" t="s">
        <v>2181</v>
      </c>
      <c r="AO70" s="98" t="str">
        <f>HYPERLINK("https://www.youtube.com/watch?v=ElIdKs4dbYs")</f>
        <v>https://www.youtube.com/watch?v=ElIdKs4dbYs</v>
      </c>
      <c r="AP70" s="77" t="str">
        <f>REPLACE(INDEX(GroupVertices[Group],MATCH("~"&amp;Vertices[[#This Row],[Vertex]],GroupVertices[Vertex],0)),1,1,"")</f>
        <v>5</v>
      </c>
      <c r="AQ70" s="45">
        <v>1</v>
      </c>
      <c r="AR70" s="46">
        <v>1.3333333333333333</v>
      </c>
      <c r="AS70" s="45">
        <v>0</v>
      </c>
      <c r="AT70" s="46">
        <v>0</v>
      </c>
      <c r="AU70" s="45">
        <v>0</v>
      </c>
      <c r="AV70" s="46">
        <v>0</v>
      </c>
      <c r="AW70" s="45">
        <v>70</v>
      </c>
      <c r="AX70" s="46">
        <v>93.33333333333333</v>
      </c>
      <c r="AY70" s="45">
        <v>75</v>
      </c>
      <c r="AZ70" s="45"/>
      <c r="BA70" s="45"/>
      <c r="BB70" s="45"/>
      <c r="BC70" s="45"/>
      <c r="BD70" s="45"/>
      <c r="BE70" s="45"/>
      <c r="BF70" s="111" t="s">
        <v>1674</v>
      </c>
      <c r="BG70" s="111" t="s">
        <v>1674</v>
      </c>
      <c r="BH70" s="111" t="s">
        <v>1674</v>
      </c>
      <c r="BI70" s="111" t="s">
        <v>1674</v>
      </c>
      <c r="BJ70" s="2"/>
    </row>
    <row r="71" spans="1:62" ht="41.45" customHeight="1">
      <c r="A71" s="62" t="s">
        <v>264</v>
      </c>
      <c r="C71" s="63"/>
      <c r="D71" s="63" t="s">
        <v>64</v>
      </c>
      <c r="E71" s="64">
        <v>837.1232049102896</v>
      </c>
      <c r="F71" s="66">
        <v>99.96111874712838</v>
      </c>
      <c r="G71" s="96" t="str">
        <f>HYPERLINK("https://i.ytimg.com/vi/ANixUoqDznU/default.jpg")</f>
        <v>https://i.ytimg.com/vi/ANixUoqDznU/default.jpg</v>
      </c>
      <c r="H71" s="63"/>
      <c r="I71" s="67" t="s">
        <v>1791</v>
      </c>
      <c r="J71" s="68"/>
      <c r="K71" s="68" t="s">
        <v>75</v>
      </c>
      <c r="L71" s="47" t="s">
        <v>1887</v>
      </c>
      <c r="M71" s="71">
        <v>2215.612661555905</v>
      </c>
      <c r="N71" s="72">
        <v>7590.80908203125</v>
      </c>
      <c r="O71" s="72">
        <v>6197.8330078125</v>
      </c>
      <c r="P71" s="73"/>
      <c r="Q71" s="74"/>
      <c r="R71" s="74"/>
      <c r="S71" s="82"/>
      <c r="T71" s="45">
        <v>1</v>
      </c>
      <c r="U71" s="45">
        <v>2</v>
      </c>
      <c r="V71" s="46">
        <v>1.188095</v>
      </c>
      <c r="W71" s="46">
        <v>0.383178</v>
      </c>
      <c r="X71" s="46">
        <v>0.024937</v>
      </c>
      <c r="Y71" s="46">
        <v>0.010573</v>
      </c>
      <c r="Z71" s="46">
        <v>0</v>
      </c>
      <c r="AA71" s="46">
        <v>0</v>
      </c>
      <c r="AB71" s="69">
        <v>71</v>
      </c>
      <c r="AC71" s="69"/>
      <c r="AD71" s="70"/>
      <c r="AE71" s="77" t="s">
        <v>1791</v>
      </c>
      <c r="AF71" s="77" t="s">
        <v>1887</v>
      </c>
      <c r="AG71" s="77" t="s">
        <v>1976</v>
      </c>
      <c r="AH71" s="77" t="s">
        <v>2053</v>
      </c>
      <c r="AI71" s="77" t="s">
        <v>2134</v>
      </c>
      <c r="AJ71" s="77">
        <v>556673</v>
      </c>
      <c r="AK71" s="77">
        <v>753</v>
      </c>
      <c r="AL71" s="77">
        <v>21679</v>
      </c>
      <c r="AM71" s="77">
        <v>0</v>
      </c>
      <c r="AN71" s="77" t="s">
        <v>2181</v>
      </c>
      <c r="AO71" s="98" t="str">
        <f>HYPERLINK("https://www.youtube.com/watch?v=ANixUoqDznU")</f>
        <v>https://www.youtube.com/watch?v=ANixUoqDznU</v>
      </c>
      <c r="AP71" s="77" t="str">
        <f>REPLACE(INDEX(GroupVertices[Group],MATCH("~"&amp;Vertices[[#This Row],[Vertex]],GroupVertices[Vertex],0)),1,1,"")</f>
        <v>3</v>
      </c>
      <c r="AQ71" s="45">
        <v>2</v>
      </c>
      <c r="AR71" s="46">
        <v>1.2345679012345678</v>
      </c>
      <c r="AS71" s="45">
        <v>1</v>
      </c>
      <c r="AT71" s="46">
        <v>0.6172839506172839</v>
      </c>
      <c r="AU71" s="45">
        <v>0</v>
      </c>
      <c r="AV71" s="46">
        <v>0</v>
      </c>
      <c r="AW71" s="45">
        <v>122</v>
      </c>
      <c r="AX71" s="46">
        <v>75.30864197530865</v>
      </c>
      <c r="AY71" s="45">
        <v>162</v>
      </c>
      <c r="AZ71" s="45"/>
      <c r="BA71" s="45"/>
      <c r="BB71" s="45"/>
      <c r="BC71" s="45"/>
      <c r="BD71" s="45"/>
      <c r="BE71" s="45"/>
      <c r="BF71" s="111" t="s">
        <v>1674</v>
      </c>
      <c r="BG71" s="111" t="s">
        <v>1674</v>
      </c>
      <c r="BH71" s="111" t="s">
        <v>1674</v>
      </c>
      <c r="BI71" s="111" t="s">
        <v>1674</v>
      </c>
      <c r="BJ71" s="2"/>
    </row>
    <row r="72" spans="1:62" ht="41.45" customHeight="1">
      <c r="A72" s="62" t="s">
        <v>230</v>
      </c>
      <c r="C72" s="63"/>
      <c r="D72" s="63" t="s">
        <v>64</v>
      </c>
      <c r="E72" s="64">
        <v>553.0903294752733</v>
      </c>
      <c r="F72" s="66">
        <v>99.97811870644705</v>
      </c>
      <c r="G72" s="96" t="str">
        <f>HYPERLINK("https://i.ytimg.com/vi/TfqEDPHjK5Y/default.jpg")</f>
        <v>https://i.ytimg.com/vi/TfqEDPHjK5Y/default.jpg</v>
      </c>
      <c r="H72" s="63"/>
      <c r="I72" s="67" t="s">
        <v>1758</v>
      </c>
      <c r="J72" s="68"/>
      <c r="K72" s="68" t="s">
        <v>75</v>
      </c>
      <c r="L72" s="47" t="s">
        <v>1856</v>
      </c>
      <c r="M72" s="71">
        <v>159.90450764066273</v>
      </c>
      <c r="N72" s="72">
        <v>5888.220703125</v>
      </c>
      <c r="O72" s="72">
        <v>4915.84716796875</v>
      </c>
      <c r="P72" s="73"/>
      <c r="Q72" s="74"/>
      <c r="R72" s="74"/>
      <c r="S72" s="82"/>
      <c r="T72" s="45">
        <v>0</v>
      </c>
      <c r="U72" s="45">
        <v>2</v>
      </c>
      <c r="V72" s="46">
        <v>0.668627</v>
      </c>
      <c r="W72" s="46">
        <v>0.366071</v>
      </c>
      <c r="X72" s="46">
        <v>0.018771</v>
      </c>
      <c r="Y72" s="46">
        <v>0.010452</v>
      </c>
      <c r="Z72" s="46">
        <v>0</v>
      </c>
      <c r="AA72" s="46">
        <v>0</v>
      </c>
      <c r="AB72" s="69">
        <v>72</v>
      </c>
      <c r="AC72" s="69"/>
      <c r="AD72" s="70"/>
      <c r="AE72" s="77" t="s">
        <v>1758</v>
      </c>
      <c r="AF72" s="77" t="s">
        <v>1856</v>
      </c>
      <c r="AG72" s="77" t="s">
        <v>1949</v>
      </c>
      <c r="AH72" s="77" t="s">
        <v>2033</v>
      </c>
      <c r="AI72" s="77" t="s">
        <v>2101</v>
      </c>
      <c r="AJ72" s="77">
        <v>40212</v>
      </c>
      <c r="AK72" s="77">
        <v>9</v>
      </c>
      <c r="AL72" s="77">
        <v>650</v>
      </c>
      <c r="AM72" s="77">
        <v>0</v>
      </c>
      <c r="AN72" s="77" t="s">
        <v>2181</v>
      </c>
      <c r="AO72" s="98" t="str">
        <f>HYPERLINK("https://www.youtube.com/watch?v=TfqEDPHjK5Y")</f>
        <v>https://www.youtube.com/watch?v=TfqEDPHjK5Y</v>
      </c>
      <c r="AP72" s="77" t="str">
        <f>REPLACE(INDEX(GroupVertices[Group],MATCH("~"&amp;Vertices[[#This Row],[Vertex]],GroupVertices[Vertex],0)),1,1,"")</f>
        <v>3</v>
      </c>
      <c r="AQ72" s="45">
        <v>6</v>
      </c>
      <c r="AR72" s="46">
        <v>4.724409448818897</v>
      </c>
      <c r="AS72" s="45">
        <v>0</v>
      </c>
      <c r="AT72" s="46">
        <v>0</v>
      </c>
      <c r="AU72" s="45">
        <v>0</v>
      </c>
      <c r="AV72" s="46">
        <v>0</v>
      </c>
      <c r="AW72" s="45">
        <v>100</v>
      </c>
      <c r="AX72" s="46">
        <v>78.74015748031496</v>
      </c>
      <c r="AY72" s="45">
        <v>127</v>
      </c>
      <c r="AZ72" s="45"/>
      <c r="BA72" s="45"/>
      <c r="BB72" s="45"/>
      <c r="BC72" s="45"/>
      <c r="BD72" s="45"/>
      <c r="BE72" s="45"/>
      <c r="BF72" s="111" t="s">
        <v>1674</v>
      </c>
      <c r="BG72" s="111" t="s">
        <v>1674</v>
      </c>
      <c r="BH72" s="111" t="s">
        <v>1674</v>
      </c>
      <c r="BI72" s="111" t="s">
        <v>1674</v>
      </c>
      <c r="BJ72" s="2"/>
    </row>
    <row r="73" spans="1:62" ht="41.45" customHeight="1">
      <c r="A73" s="62" t="s">
        <v>299</v>
      </c>
      <c r="C73" s="63"/>
      <c r="D73" s="63" t="s">
        <v>64</v>
      </c>
      <c r="E73" s="64">
        <v>486.0571734485899</v>
      </c>
      <c r="F73" s="66">
        <v>99.99064980638504</v>
      </c>
      <c r="G73" s="96" t="str">
        <f>HYPERLINK("https://i.ytimg.com/vi/KtxrtYAbDCo/default.jpg")</f>
        <v>https://i.ytimg.com/vi/KtxrtYAbDCo/default.jpg</v>
      </c>
      <c r="H73" s="63"/>
      <c r="I73" s="67" t="s">
        <v>1794</v>
      </c>
      <c r="J73" s="68"/>
      <c r="K73" s="68" t="s">
        <v>75</v>
      </c>
      <c r="L73" s="47" t="s">
        <v>1890</v>
      </c>
      <c r="M73" s="71">
        <v>85.9332293982381</v>
      </c>
      <c r="N73" s="72">
        <v>126.46956634521484</v>
      </c>
      <c r="O73" s="72">
        <v>9216.158203125</v>
      </c>
      <c r="P73" s="73"/>
      <c r="Q73" s="74"/>
      <c r="R73" s="74"/>
      <c r="S73" s="82"/>
      <c r="T73" s="45">
        <v>2</v>
      </c>
      <c r="U73" s="45">
        <v>0</v>
      </c>
      <c r="V73" s="46">
        <v>0.285714</v>
      </c>
      <c r="W73" s="46">
        <v>0.356522</v>
      </c>
      <c r="X73" s="46">
        <v>0.017816</v>
      </c>
      <c r="Y73" s="46">
        <v>0.01047</v>
      </c>
      <c r="Z73" s="46">
        <v>0</v>
      </c>
      <c r="AA73" s="46">
        <v>0</v>
      </c>
      <c r="AB73" s="69">
        <v>73</v>
      </c>
      <c r="AC73" s="69"/>
      <c r="AD73" s="70"/>
      <c r="AE73" s="77" t="s">
        <v>1794</v>
      </c>
      <c r="AF73" s="77" t="s">
        <v>1890</v>
      </c>
      <c r="AG73" s="77" t="s">
        <v>1979</v>
      </c>
      <c r="AH73" s="77" t="s">
        <v>2054</v>
      </c>
      <c r="AI73" s="77" t="s">
        <v>2137</v>
      </c>
      <c r="AJ73" s="77">
        <v>21628</v>
      </c>
      <c r="AK73" s="77">
        <v>17</v>
      </c>
      <c r="AL73" s="77">
        <v>689</v>
      </c>
      <c r="AM73" s="77">
        <v>0</v>
      </c>
      <c r="AN73" s="77" t="s">
        <v>2181</v>
      </c>
      <c r="AO73" s="98" t="str">
        <f>HYPERLINK("https://www.youtube.com/watch?v=KtxrtYAbDCo")</f>
        <v>https://www.youtube.com/watch?v=KtxrtYAbDCo</v>
      </c>
      <c r="AP73" s="77" t="str">
        <f>REPLACE(INDEX(GroupVertices[Group],MATCH("~"&amp;Vertices[[#This Row],[Vertex]],GroupVertices[Vertex],0)),1,1,"")</f>
        <v>1</v>
      </c>
      <c r="AQ73" s="45">
        <v>4</v>
      </c>
      <c r="AR73" s="46">
        <v>3.5714285714285716</v>
      </c>
      <c r="AS73" s="45">
        <v>2</v>
      </c>
      <c r="AT73" s="46">
        <v>1.7857142857142858</v>
      </c>
      <c r="AU73" s="45">
        <v>0</v>
      </c>
      <c r="AV73" s="46">
        <v>0</v>
      </c>
      <c r="AW73" s="45">
        <v>64</v>
      </c>
      <c r="AX73" s="46">
        <v>57.142857142857146</v>
      </c>
      <c r="AY73" s="45">
        <v>112</v>
      </c>
      <c r="AZ73" s="45"/>
      <c r="BA73" s="45"/>
      <c r="BB73" s="45"/>
      <c r="BC73" s="45"/>
      <c r="BD73" s="45"/>
      <c r="BE73" s="45"/>
      <c r="BF73" s="45"/>
      <c r="BG73" s="45"/>
      <c r="BH73" s="45"/>
      <c r="BI73" s="45"/>
      <c r="BJ73" s="2"/>
    </row>
    <row r="74" spans="1:62" ht="41.45" customHeight="1">
      <c r="A74" s="62" t="s">
        <v>292</v>
      </c>
      <c r="C74" s="63"/>
      <c r="D74" s="63" t="s">
        <v>64</v>
      </c>
      <c r="E74" s="64">
        <v>361.32642679208925</v>
      </c>
      <c r="F74" s="66">
        <v>100</v>
      </c>
      <c r="G74" s="96" t="str">
        <f>HYPERLINK("https://i.ytimg.com/vi/adlroSxG1Q4/default.jpg")</f>
        <v>https://i.ytimg.com/vi/adlroSxG1Q4/default.jpg</v>
      </c>
      <c r="H74" s="63"/>
      <c r="I74" s="67" t="s">
        <v>1745</v>
      </c>
      <c r="J74" s="68"/>
      <c r="K74" s="68" t="s">
        <v>75</v>
      </c>
      <c r="L74" s="47" t="s">
        <v>1843</v>
      </c>
      <c r="M74" s="71">
        <v>26.995825344450886</v>
      </c>
      <c r="N74" s="72">
        <v>9692.533203125</v>
      </c>
      <c r="O74" s="72">
        <v>4428.69091796875</v>
      </c>
      <c r="P74" s="73"/>
      <c r="Q74" s="74"/>
      <c r="R74" s="74"/>
      <c r="S74" s="82"/>
      <c r="T74" s="45">
        <v>1</v>
      </c>
      <c r="U74" s="45">
        <v>0</v>
      </c>
      <c r="V74" s="46">
        <v>0</v>
      </c>
      <c r="W74" s="46">
        <v>0.196172</v>
      </c>
      <c r="X74" s="46">
        <v>1.7E-05</v>
      </c>
      <c r="Y74" s="46">
        <v>0.011199</v>
      </c>
      <c r="Z74" s="46">
        <v>0</v>
      </c>
      <c r="AA74" s="46">
        <v>0</v>
      </c>
      <c r="AB74" s="69">
        <v>74</v>
      </c>
      <c r="AC74" s="69"/>
      <c r="AD74" s="70"/>
      <c r="AE74" s="77" t="s">
        <v>1745</v>
      </c>
      <c r="AF74" s="77" t="s">
        <v>1843</v>
      </c>
      <c r="AG74" s="77" t="s">
        <v>1937</v>
      </c>
      <c r="AH74" s="77" t="s">
        <v>2022</v>
      </c>
      <c r="AI74" s="77" t="s">
        <v>2088</v>
      </c>
      <c r="AJ74" s="77">
        <v>6821</v>
      </c>
      <c r="AK74" s="77">
        <v>17</v>
      </c>
      <c r="AL74" s="77">
        <v>525</v>
      </c>
      <c r="AM74" s="77">
        <v>0</v>
      </c>
      <c r="AN74" s="77" t="s">
        <v>2181</v>
      </c>
      <c r="AO74" s="98" t="str">
        <f>HYPERLINK("https://www.youtube.com/watch?v=adlroSxG1Q4")</f>
        <v>https://www.youtube.com/watch?v=adlroSxG1Q4</v>
      </c>
      <c r="AP74" s="77" t="str">
        <f>REPLACE(INDEX(GroupVertices[Group],MATCH("~"&amp;Vertices[[#This Row],[Vertex]],GroupVertices[Vertex],0)),1,1,"")</f>
        <v>5</v>
      </c>
      <c r="AQ74" s="45">
        <v>0</v>
      </c>
      <c r="AR74" s="46">
        <v>0</v>
      </c>
      <c r="AS74" s="45">
        <v>1</v>
      </c>
      <c r="AT74" s="46">
        <v>0.8695652173913043</v>
      </c>
      <c r="AU74" s="45">
        <v>0</v>
      </c>
      <c r="AV74" s="46">
        <v>0</v>
      </c>
      <c r="AW74" s="45">
        <v>113</v>
      </c>
      <c r="AX74" s="46">
        <v>98.26086956521739</v>
      </c>
      <c r="AY74" s="45">
        <v>115</v>
      </c>
      <c r="AZ74" s="45"/>
      <c r="BA74" s="45"/>
      <c r="BB74" s="45"/>
      <c r="BC74" s="45"/>
      <c r="BD74" s="45"/>
      <c r="BE74" s="45"/>
      <c r="BF74" s="45"/>
      <c r="BG74" s="45"/>
      <c r="BH74" s="45"/>
      <c r="BI74" s="45"/>
      <c r="BJ74" s="2"/>
    </row>
    <row r="75" spans="1:62" ht="41.45" customHeight="1">
      <c r="A75" s="62" t="s">
        <v>293</v>
      </c>
      <c r="C75" s="63"/>
      <c r="D75" s="63" t="s">
        <v>64</v>
      </c>
      <c r="E75" s="64">
        <v>461.1708700067699</v>
      </c>
      <c r="F75" s="66">
        <v>100</v>
      </c>
      <c r="G75" s="96" t="str">
        <f>HYPERLINK("https://i.ytimg.com/vi/fJfnqpiSv8k/default.jpg")</f>
        <v>https://i.ytimg.com/vi/fJfnqpiSv8k/default.jpg</v>
      </c>
      <c r="H75" s="63"/>
      <c r="I75" s="67" t="s">
        <v>1747</v>
      </c>
      <c r="J75" s="68"/>
      <c r="K75" s="68" t="s">
        <v>75</v>
      </c>
      <c r="L75" s="67" t="s">
        <v>1845</v>
      </c>
      <c r="M75" s="71">
        <v>68.22852397301722</v>
      </c>
      <c r="N75" s="72">
        <v>3925.17236328125</v>
      </c>
      <c r="O75" s="72">
        <v>365.5526123046875</v>
      </c>
      <c r="P75" s="73"/>
      <c r="Q75" s="74"/>
      <c r="R75" s="74"/>
      <c r="S75" s="82"/>
      <c r="T75" s="45">
        <v>2</v>
      </c>
      <c r="U75" s="45">
        <v>0</v>
      </c>
      <c r="V75" s="46">
        <v>0</v>
      </c>
      <c r="W75" s="46">
        <v>0.298182</v>
      </c>
      <c r="X75" s="46">
        <v>0.002444</v>
      </c>
      <c r="Y75" s="46">
        <v>0.010866</v>
      </c>
      <c r="Z75" s="46">
        <v>0.5</v>
      </c>
      <c r="AA75" s="46">
        <v>0</v>
      </c>
      <c r="AB75" s="69">
        <v>75</v>
      </c>
      <c r="AC75" s="69"/>
      <c r="AD75" s="70"/>
      <c r="AE75" s="77" t="s">
        <v>1747</v>
      </c>
      <c r="AF75" s="77" t="s">
        <v>1845</v>
      </c>
      <c r="AG75" s="77" t="s">
        <v>1939</v>
      </c>
      <c r="AH75" s="77" t="s">
        <v>2024</v>
      </c>
      <c r="AI75" s="77" t="s">
        <v>2090</v>
      </c>
      <c r="AJ75" s="77">
        <v>17180</v>
      </c>
      <c r="AK75" s="77">
        <v>16</v>
      </c>
      <c r="AL75" s="77">
        <v>198</v>
      </c>
      <c r="AM75" s="77">
        <v>0</v>
      </c>
      <c r="AN75" s="77" t="s">
        <v>2181</v>
      </c>
      <c r="AO75" s="98" t="str">
        <f>HYPERLINK("https://www.youtube.com/watch?v=fJfnqpiSv8k")</f>
        <v>https://www.youtube.com/watch?v=fJfnqpiSv8k</v>
      </c>
      <c r="AP75" s="77" t="str">
        <f>REPLACE(INDEX(GroupVertices[Group],MATCH("~"&amp;Vertices[[#This Row],[Vertex]],GroupVertices[Vertex],0)),1,1,"")</f>
        <v>2</v>
      </c>
      <c r="AQ75" s="45">
        <v>1</v>
      </c>
      <c r="AR75" s="46">
        <v>3.3333333333333335</v>
      </c>
      <c r="AS75" s="45">
        <v>0</v>
      </c>
      <c r="AT75" s="46">
        <v>0</v>
      </c>
      <c r="AU75" s="45">
        <v>0</v>
      </c>
      <c r="AV75" s="46">
        <v>0</v>
      </c>
      <c r="AW75" s="45">
        <v>28</v>
      </c>
      <c r="AX75" s="46">
        <v>93.33333333333333</v>
      </c>
      <c r="AY75" s="45">
        <v>30</v>
      </c>
      <c r="AZ75" s="45"/>
      <c r="BA75" s="45"/>
      <c r="BB75" s="45"/>
      <c r="BC75" s="45"/>
      <c r="BD75" s="45"/>
      <c r="BE75" s="45"/>
      <c r="BF75" s="45"/>
      <c r="BG75" s="45"/>
      <c r="BH75" s="45"/>
      <c r="BI75" s="45"/>
      <c r="BJ75" s="2"/>
    </row>
    <row r="76" spans="1:62" ht="41.45" customHeight="1">
      <c r="A76" s="62" t="s">
        <v>229</v>
      </c>
      <c r="C76" s="63"/>
      <c r="D76" s="63" t="s">
        <v>64</v>
      </c>
      <c r="E76" s="64">
        <v>540.6644777841245</v>
      </c>
      <c r="F76" s="66">
        <v>100</v>
      </c>
      <c r="G76" s="96" t="str">
        <f>HYPERLINK("https://i.ytimg.com/vi/yqp6le8_KD4/default.jpg")</f>
        <v>https://i.ytimg.com/vi/yqp6le8_KD4/default.jpg</v>
      </c>
      <c r="H76" s="63"/>
      <c r="I76" s="67" t="s">
        <v>1757</v>
      </c>
      <c r="J76" s="68"/>
      <c r="K76" s="68" t="s">
        <v>75</v>
      </c>
      <c r="L76" s="47" t="s">
        <v>1855</v>
      </c>
      <c r="M76" s="71">
        <v>142.52221254355402</v>
      </c>
      <c r="N76" s="72">
        <v>4452.78271484375</v>
      </c>
      <c r="O76" s="72">
        <v>2586.607666015625</v>
      </c>
      <c r="P76" s="73"/>
      <c r="Q76" s="74"/>
      <c r="R76" s="74"/>
      <c r="S76" s="82"/>
      <c r="T76" s="45">
        <v>0</v>
      </c>
      <c r="U76" s="45">
        <v>1</v>
      </c>
      <c r="V76" s="46">
        <v>0</v>
      </c>
      <c r="W76" s="46">
        <v>0.280822</v>
      </c>
      <c r="X76" s="46">
        <v>0.001511</v>
      </c>
      <c r="Y76" s="46">
        <v>0.010501</v>
      </c>
      <c r="Z76" s="46">
        <v>0</v>
      </c>
      <c r="AA76" s="46">
        <v>0</v>
      </c>
      <c r="AB76" s="69">
        <v>76</v>
      </c>
      <c r="AC76" s="69"/>
      <c r="AD76" s="70"/>
      <c r="AE76" s="77" t="s">
        <v>1757</v>
      </c>
      <c r="AF76" s="77" t="s">
        <v>1855</v>
      </c>
      <c r="AG76" s="77" t="s">
        <v>1948</v>
      </c>
      <c r="AH76" s="77" t="s">
        <v>2032</v>
      </c>
      <c r="AI76" s="77" t="s">
        <v>2100</v>
      </c>
      <c r="AJ76" s="77">
        <v>35845</v>
      </c>
      <c r="AK76" s="77">
        <v>16</v>
      </c>
      <c r="AL76" s="77">
        <v>216</v>
      </c>
      <c r="AM76" s="77">
        <v>0</v>
      </c>
      <c r="AN76" s="77" t="s">
        <v>2181</v>
      </c>
      <c r="AO76" s="98" t="str">
        <f>HYPERLINK("https://www.youtube.com/watch?v=yqp6le8_KD4")</f>
        <v>https://www.youtube.com/watch?v=yqp6le8_KD4</v>
      </c>
      <c r="AP76" s="77" t="str">
        <f>REPLACE(INDEX(GroupVertices[Group],MATCH("~"&amp;Vertices[[#This Row],[Vertex]],GroupVertices[Vertex],0)),1,1,"")</f>
        <v>2</v>
      </c>
      <c r="AQ76" s="45">
        <v>3</v>
      </c>
      <c r="AR76" s="46">
        <v>5.357142857142857</v>
      </c>
      <c r="AS76" s="45">
        <v>1</v>
      </c>
      <c r="AT76" s="46">
        <v>1.7857142857142858</v>
      </c>
      <c r="AU76" s="45">
        <v>0</v>
      </c>
      <c r="AV76" s="46">
        <v>0</v>
      </c>
      <c r="AW76" s="45">
        <v>37</v>
      </c>
      <c r="AX76" s="46">
        <v>66.07142857142857</v>
      </c>
      <c r="AY76" s="45">
        <v>56</v>
      </c>
      <c r="AZ76" s="45"/>
      <c r="BA76" s="45"/>
      <c r="BB76" s="45"/>
      <c r="BC76" s="45"/>
      <c r="BD76" s="45"/>
      <c r="BE76" s="45"/>
      <c r="BF76" s="111" t="s">
        <v>1674</v>
      </c>
      <c r="BG76" s="111" t="s">
        <v>1674</v>
      </c>
      <c r="BH76" s="111" t="s">
        <v>1674</v>
      </c>
      <c r="BI76" s="111" t="s">
        <v>1674</v>
      </c>
      <c r="BJ76" s="2"/>
    </row>
    <row r="77" spans="1:62" ht="41.45" customHeight="1">
      <c r="A77" s="62" t="s">
        <v>296</v>
      </c>
      <c r="C77" s="63"/>
      <c r="D77" s="63" t="s">
        <v>64</v>
      </c>
      <c r="E77" s="64">
        <v>757.5653785449255</v>
      </c>
      <c r="F77" s="66">
        <v>100</v>
      </c>
      <c r="G77" s="96" t="str">
        <f>HYPERLINK("https://i.ytimg.com/vi/wGow7kVaxBg/default.jpg")</f>
        <v>https://i.ytimg.com/vi/wGow7kVaxBg/default.jpg</v>
      </c>
      <c r="H77" s="63"/>
      <c r="I77" s="67" t="s">
        <v>1762</v>
      </c>
      <c r="J77" s="68"/>
      <c r="K77" s="68" t="s">
        <v>75</v>
      </c>
      <c r="L77" s="47" t="s">
        <v>1859</v>
      </c>
      <c r="M77" s="71">
        <v>1061.2005896909975</v>
      </c>
      <c r="N77" s="72">
        <v>9851.1884765625</v>
      </c>
      <c r="O77" s="72">
        <v>3883.223876953125</v>
      </c>
      <c r="P77" s="73"/>
      <c r="Q77" s="74"/>
      <c r="R77" s="74"/>
      <c r="S77" s="82"/>
      <c r="T77" s="45">
        <v>2</v>
      </c>
      <c r="U77" s="45">
        <v>0</v>
      </c>
      <c r="V77" s="46">
        <v>0</v>
      </c>
      <c r="W77" s="46">
        <v>0.277027</v>
      </c>
      <c r="X77" s="46">
        <v>0.000989</v>
      </c>
      <c r="Y77" s="46">
        <v>0.011724</v>
      </c>
      <c r="Z77" s="46">
        <v>0.5</v>
      </c>
      <c r="AA77" s="46">
        <v>0</v>
      </c>
      <c r="AB77" s="69">
        <v>77</v>
      </c>
      <c r="AC77" s="69"/>
      <c r="AD77" s="70"/>
      <c r="AE77" s="77" t="s">
        <v>1762</v>
      </c>
      <c r="AF77" s="77" t="s">
        <v>1859</v>
      </c>
      <c r="AG77" s="77" t="s">
        <v>1952</v>
      </c>
      <c r="AH77" s="77" t="s">
        <v>2037</v>
      </c>
      <c r="AI77" s="77" t="s">
        <v>2105</v>
      </c>
      <c r="AJ77" s="77">
        <v>266647</v>
      </c>
      <c r="AK77" s="77">
        <v>102</v>
      </c>
      <c r="AL77" s="77">
        <v>18055</v>
      </c>
      <c r="AM77" s="77">
        <v>0</v>
      </c>
      <c r="AN77" s="77" t="s">
        <v>2181</v>
      </c>
      <c r="AO77" s="98" t="str">
        <f>HYPERLINK("https://www.youtube.com/watch?v=wGow7kVaxBg")</f>
        <v>https://www.youtube.com/watch?v=wGow7kVaxBg</v>
      </c>
      <c r="AP77" s="77" t="str">
        <f>REPLACE(INDEX(GroupVertices[Group],MATCH("~"&amp;Vertices[[#This Row],[Vertex]],GroupVertices[Vertex],0)),1,1,"")</f>
        <v>7</v>
      </c>
      <c r="AQ77" s="45">
        <v>0</v>
      </c>
      <c r="AR77" s="46">
        <v>0</v>
      </c>
      <c r="AS77" s="45">
        <v>1</v>
      </c>
      <c r="AT77" s="46">
        <v>5</v>
      </c>
      <c r="AU77" s="45">
        <v>0</v>
      </c>
      <c r="AV77" s="46">
        <v>0</v>
      </c>
      <c r="AW77" s="45">
        <v>15</v>
      </c>
      <c r="AX77" s="46">
        <v>75</v>
      </c>
      <c r="AY77" s="45">
        <v>20</v>
      </c>
      <c r="AZ77" s="45"/>
      <c r="BA77" s="45"/>
      <c r="BB77" s="45"/>
      <c r="BC77" s="45"/>
      <c r="BD77" s="45"/>
      <c r="BE77" s="45"/>
      <c r="BF77" s="45"/>
      <c r="BG77" s="45"/>
      <c r="BH77" s="45"/>
      <c r="BI77" s="45"/>
      <c r="BJ77" s="2"/>
    </row>
    <row r="78" spans="1:62" ht="41.45" customHeight="1">
      <c r="A78" s="62" t="s">
        <v>232</v>
      </c>
      <c r="C78" s="63"/>
      <c r="D78" s="63" t="s">
        <v>64</v>
      </c>
      <c r="E78" s="64">
        <v>737.2916334411178</v>
      </c>
      <c r="F78" s="66">
        <v>100</v>
      </c>
      <c r="G78" s="96" t="str">
        <f>HYPERLINK("https://i.ytimg.com/vi/k2w5CVgw-aE/default.jpg")</f>
        <v>https://i.ytimg.com/vi/k2w5CVgw-aE/default.jpg</v>
      </c>
      <c r="H78" s="63"/>
      <c r="I78" s="67" t="s">
        <v>1763</v>
      </c>
      <c r="J78" s="68"/>
      <c r="K78" s="68" t="s">
        <v>75</v>
      </c>
      <c r="L78" s="67"/>
      <c r="M78" s="71">
        <v>879.6795945894298</v>
      </c>
      <c r="N78" s="72">
        <v>8834.4267578125</v>
      </c>
      <c r="O78" s="72">
        <v>4281.06787109375</v>
      </c>
      <c r="P78" s="73"/>
      <c r="Q78" s="74"/>
      <c r="R78" s="74"/>
      <c r="S78" s="82"/>
      <c r="T78" s="45">
        <v>0</v>
      </c>
      <c r="U78" s="45">
        <v>2</v>
      </c>
      <c r="V78" s="46">
        <v>0</v>
      </c>
      <c r="W78" s="46">
        <v>0.277027</v>
      </c>
      <c r="X78" s="46">
        <v>0.000989</v>
      </c>
      <c r="Y78" s="46">
        <v>0.011724</v>
      </c>
      <c r="Z78" s="46">
        <v>0.5</v>
      </c>
      <c r="AA78" s="46">
        <v>0</v>
      </c>
      <c r="AB78" s="69">
        <v>78</v>
      </c>
      <c r="AC78" s="69"/>
      <c r="AD78" s="70"/>
      <c r="AE78" s="77" t="s">
        <v>1763</v>
      </c>
      <c r="AF78" s="77"/>
      <c r="AG78" s="77"/>
      <c r="AH78" s="77" t="s">
        <v>2036</v>
      </c>
      <c r="AI78" s="77" t="s">
        <v>2106</v>
      </c>
      <c r="AJ78" s="77">
        <v>221043</v>
      </c>
      <c r="AK78" s="77">
        <v>215</v>
      </c>
      <c r="AL78" s="77">
        <v>29815</v>
      </c>
      <c r="AM78" s="77">
        <v>0</v>
      </c>
      <c r="AN78" s="77" t="s">
        <v>2181</v>
      </c>
      <c r="AO78" s="98" t="str">
        <f>HYPERLINK("https://www.youtube.com/watch?v=k2w5CVgw-aE")</f>
        <v>https://www.youtube.com/watch?v=k2w5CVgw-aE</v>
      </c>
      <c r="AP78" s="77" t="str">
        <f>REPLACE(INDEX(GroupVertices[Group],MATCH("~"&amp;Vertices[[#This Row],[Vertex]],GroupVertices[Vertex],0)),1,1,"")</f>
        <v>7</v>
      </c>
      <c r="AQ78" s="45"/>
      <c r="AR78" s="46"/>
      <c r="AS78" s="45"/>
      <c r="AT78" s="46"/>
      <c r="AU78" s="45"/>
      <c r="AV78" s="46"/>
      <c r="AW78" s="45"/>
      <c r="AX78" s="46"/>
      <c r="AY78" s="45"/>
      <c r="AZ78" s="45"/>
      <c r="BA78" s="45"/>
      <c r="BB78" s="45"/>
      <c r="BC78" s="45"/>
      <c r="BD78" s="45"/>
      <c r="BE78" s="45"/>
      <c r="BF78" s="111" t="s">
        <v>1674</v>
      </c>
      <c r="BG78" s="111" t="s">
        <v>1674</v>
      </c>
      <c r="BH78" s="111" t="s">
        <v>1674</v>
      </c>
      <c r="BI78" s="111" t="s">
        <v>1674</v>
      </c>
      <c r="BJ78" s="2"/>
    </row>
    <row r="79" spans="1:62" ht="41.45" customHeight="1">
      <c r="A79" s="62" t="s">
        <v>234</v>
      </c>
      <c r="C79" s="63"/>
      <c r="D79" s="63" t="s">
        <v>64</v>
      </c>
      <c r="E79" s="64">
        <v>584.675852574497</v>
      </c>
      <c r="F79" s="66">
        <v>100</v>
      </c>
      <c r="G79" s="96" t="str">
        <f>HYPERLINK("https://i.ytimg.com/vi/Ide5Y8XbPgE/default.jpg")</f>
        <v>https://i.ytimg.com/vi/Ide5Y8XbPgE/default.jpg</v>
      </c>
      <c r="H79" s="63"/>
      <c r="I79" s="67" t="s">
        <v>1766</v>
      </c>
      <c r="J79" s="68"/>
      <c r="K79" s="68" t="s">
        <v>75</v>
      </c>
      <c r="L79" s="47" t="s">
        <v>1862</v>
      </c>
      <c r="M79" s="71">
        <v>214.22865774035122</v>
      </c>
      <c r="N79" s="72">
        <v>4452.78271484375</v>
      </c>
      <c r="O79" s="72">
        <v>6362.3486328125</v>
      </c>
      <c r="P79" s="73"/>
      <c r="Q79" s="74"/>
      <c r="R79" s="74"/>
      <c r="S79" s="82"/>
      <c r="T79" s="45">
        <v>0</v>
      </c>
      <c r="U79" s="45">
        <v>1</v>
      </c>
      <c r="V79" s="46">
        <v>0</v>
      </c>
      <c r="W79" s="46">
        <v>0.265372</v>
      </c>
      <c r="X79" s="46">
        <v>0.00108</v>
      </c>
      <c r="Y79" s="46">
        <v>0.010845</v>
      </c>
      <c r="Z79" s="46">
        <v>0</v>
      </c>
      <c r="AA79" s="46">
        <v>0</v>
      </c>
      <c r="AB79" s="69">
        <v>79</v>
      </c>
      <c r="AC79" s="69"/>
      <c r="AD79" s="70"/>
      <c r="AE79" s="77" t="s">
        <v>1766</v>
      </c>
      <c r="AF79" s="77" t="s">
        <v>1862</v>
      </c>
      <c r="AG79" s="77" t="s">
        <v>1955</v>
      </c>
      <c r="AH79" s="77" t="s">
        <v>2040</v>
      </c>
      <c r="AI79" s="77" t="s">
        <v>2109</v>
      </c>
      <c r="AJ79" s="77">
        <v>53860</v>
      </c>
      <c r="AK79" s="77">
        <v>190</v>
      </c>
      <c r="AL79" s="77">
        <v>1366</v>
      </c>
      <c r="AM79" s="77">
        <v>0</v>
      </c>
      <c r="AN79" s="77" t="s">
        <v>2181</v>
      </c>
      <c r="AO79" s="98" t="str">
        <f>HYPERLINK("https://www.youtube.com/watch?v=Ide5Y8XbPgE")</f>
        <v>https://www.youtube.com/watch?v=Ide5Y8XbPgE</v>
      </c>
      <c r="AP79" s="77" t="str">
        <f>REPLACE(INDEX(GroupVertices[Group],MATCH("~"&amp;Vertices[[#This Row],[Vertex]],GroupVertices[Vertex],0)),1,1,"")</f>
        <v>1</v>
      </c>
      <c r="AQ79" s="45">
        <v>0</v>
      </c>
      <c r="AR79" s="46">
        <v>0</v>
      </c>
      <c r="AS79" s="45">
        <v>0</v>
      </c>
      <c r="AT79" s="46">
        <v>0</v>
      </c>
      <c r="AU79" s="45">
        <v>0</v>
      </c>
      <c r="AV79" s="46">
        <v>0</v>
      </c>
      <c r="AW79" s="45">
        <v>144</v>
      </c>
      <c r="AX79" s="46">
        <v>100</v>
      </c>
      <c r="AY79" s="45">
        <v>144</v>
      </c>
      <c r="AZ79" s="45"/>
      <c r="BA79" s="45"/>
      <c r="BB79" s="45"/>
      <c r="BC79" s="45"/>
      <c r="BD79" s="45"/>
      <c r="BE79" s="45"/>
      <c r="BF79" s="111" t="s">
        <v>1674</v>
      </c>
      <c r="BG79" s="111" t="s">
        <v>1674</v>
      </c>
      <c r="BH79" s="111" t="s">
        <v>1674</v>
      </c>
      <c r="BI79" s="111" t="s">
        <v>1674</v>
      </c>
      <c r="BJ79" s="2"/>
    </row>
    <row r="80" spans="1:62" ht="41.45" customHeight="1">
      <c r="A80" s="62" t="s">
        <v>301</v>
      </c>
      <c r="C80" s="63"/>
      <c r="D80" s="63" t="s">
        <v>64</v>
      </c>
      <c r="E80" s="64">
        <v>424.1892652163518</v>
      </c>
      <c r="F80" s="66">
        <v>100</v>
      </c>
      <c r="G80" s="96" t="str">
        <f>HYPERLINK("https://i.ytimg.com/vi/g53KY7gRVFA/default.jpg")</f>
        <v>https://i.ytimg.com/vi/g53KY7gRVFA/default.jpg</v>
      </c>
      <c r="H80" s="63"/>
      <c r="I80" s="67" t="s">
        <v>1802</v>
      </c>
      <c r="J80" s="68"/>
      <c r="K80" s="68" t="s">
        <v>75</v>
      </c>
      <c r="L80" s="47" t="s">
        <v>1898</v>
      </c>
      <c r="M80" s="71">
        <v>48.41422010459331</v>
      </c>
      <c r="N80" s="72">
        <v>8308.8701171875</v>
      </c>
      <c r="O80" s="72">
        <v>1855.5391845703125</v>
      </c>
      <c r="P80" s="73"/>
      <c r="Q80" s="74"/>
      <c r="R80" s="74"/>
      <c r="S80" s="82"/>
      <c r="T80" s="45">
        <v>1</v>
      </c>
      <c r="U80" s="45">
        <v>0</v>
      </c>
      <c r="V80" s="46">
        <v>0</v>
      </c>
      <c r="W80" s="46">
        <v>0.322835</v>
      </c>
      <c r="X80" s="46">
        <v>0.005333</v>
      </c>
      <c r="Y80" s="46">
        <v>0.010394</v>
      </c>
      <c r="Z80" s="46">
        <v>0</v>
      </c>
      <c r="AA80" s="46">
        <v>0</v>
      </c>
      <c r="AB80" s="69">
        <v>80</v>
      </c>
      <c r="AC80" s="69"/>
      <c r="AD80" s="70"/>
      <c r="AE80" s="77" t="s">
        <v>1802</v>
      </c>
      <c r="AF80" s="77" t="s">
        <v>1898</v>
      </c>
      <c r="AG80" s="77" t="s">
        <v>1962</v>
      </c>
      <c r="AH80" s="77" t="s">
        <v>2039</v>
      </c>
      <c r="AI80" s="77" t="s">
        <v>2145</v>
      </c>
      <c r="AJ80" s="77">
        <v>12202</v>
      </c>
      <c r="AK80" s="77">
        <v>14</v>
      </c>
      <c r="AL80" s="77">
        <v>401</v>
      </c>
      <c r="AM80" s="77">
        <v>0</v>
      </c>
      <c r="AN80" s="77" t="s">
        <v>2181</v>
      </c>
      <c r="AO80" s="98" t="str">
        <f>HYPERLINK("https://www.youtube.com/watch?v=g53KY7gRVFA")</f>
        <v>https://www.youtube.com/watch?v=g53KY7gRVFA</v>
      </c>
      <c r="AP80" s="77" t="str">
        <f>REPLACE(INDEX(GroupVertices[Group],MATCH("~"&amp;Vertices[[#This Row],[Vertex]],GroupVertices[Vertex],0)),1,1,"")</f>
        <v>6</v>
      </c>
      <c r="AQ80" s="45">
        <v>0</v>
      </c>
      <c r="AR80" s="46">
        <v>0</v>
      </c>
      <c r="AS80" s="45">
        <v>1</v>
      </c>
      <c r="AT80" s="46">
        <v>1.408450704225352</v>
      </c>
      <c r="AU80" s="45">
        <v>0</v>
      </c>
      <c r="AV80" s="46">
        <v>0</v>
      </c>
      <c r="AW80" s="45">
        <v>49</v>
      </c>
      <c r="AX80" s="46">
        <v>69.01408450704226</v>
      </c>
      <c r="AY80" s="45">
        <v>71</v>
      </c>
      <c r="AZ80" s="45"/>
      <c r="BA80" s="45"/>
      <c r="BB80" s="45"/>
      <c r="BC80" s="45"/>
      <c r="BD80" s="45"/>
      <c r="BE80" s="45"/>
      <c r="BF80" s="45"/>
      <c r="BG80" s="45"/>
      <c r="BH80" s="45"/>
      <c r="BI80" s="45"/>
      <c r="BJ80" s="2"/>
    </row>
    <row r="81" spans="1:62" ht="41.45" customHeight="1">
      <c r="A81" s="62" t="s">
        <v>302</v>
      </c>
      <c r="C81" s="63"/>
      <c r="D81" s="63" t="s">
        <v>64</v>
      </c>
      <c r="E81" s="64">
        <v>409.60680567436356</v>
      </c>
      <c r="F81" s="66">
        <v>100</v>
      </c>
      <c r="G81" s="96" t="str">
        <f>HYPERLINK("https://i.ytimg.com/vi/bC3a1osMYR8/default.jpg")</f>
        <v>https://i.ytimg.com/vi/bC3a1osMYR8/default.jpg</v>
      </c>
      <c r="H81" s="63"/>
      <c r="I81" s="67" t="s">
        <v>1806</v>
      </c>
      <c r="J81" s="68"/>
      <c r="K81" s="68" t="s">
        <v>75</v>
      </c>
      <c r="L81" s="47" t="s">
        <v>1902</v>
      </c>
      <c r="M81" s="71">
        <v>42.28444349604112</v>
      </c>
      <c r="N81" s="72">
        <v>2115.9365234375</v>
      </c>
      <c r="O81" s="72">
        <v>9814.4716796875</v>
      </c>
      <c r="P81" s="73"/>
      <c r="Q81" s="74"/>
      <c r="R81" s="74"/>
      <c r="S81" s="82"/>
      <c r="T81" s="45">
        <v>3</v>
      </c>
      <c r="U81" s="45">
        <v>0</v>
      </c>
      <c r="V81" s="46">
        <v>0</v>
      </c>
      <c r="W81" s="46">
        <v>0.381395</v>
      </c>
      <c r="X81" s="46">
        <v>0.029712</v>
      </c>
      <c r="Y81" s="46">
        <v>0.010593</v>
      </c>
      <c r="Z81" s="46">
        <v>0.5</v>
      </c>
      <c r="AA81" s="46">
        <v>0</v>
      </c>
      <c r="AB81" s="69">
        <v>81</v>
      </c>
      <c r="AC81" s="69"/>
      <c r="AD81" s="70"/>
      <c r="AE81" s="77" t="s">
        <v>1806</v>
      </c>
      <c r="AF81" s="77" t="s">
        <v>1902</v>
      </c>
      <c r="AG81" s="77" t="s">
        <v>1989</v>
      </c>
      <c r="AH81" s="77" t="s">
        <v>2060</v>
      </c>
      <c r="AI81" s="77" t="s">
        <v>2149</v>
      </c>
      <c r="AJ81" s="77">
        <v>10662</v>
      </c>
      <c r="AK81" s="77">
        <v>21</v>
      </c>
      <c r="AL81" s="77">
        <v>421</v>
      </c>
      <c r="AM81" s="77">
        <v>0</v>
      </c>
      <c r="AN81" s="77" t="s">
        <v>2181</v>
      </c>
      <c r="AO81" s="98" t="str">
        <f>HYPERLINK("https://www.youtube.com/watch?v=bC3a1osMYR8")</f>
        <v>https://www.youtube.com/watch?v=bC3a1osMYR8</v>
      </c>
      <c r="AP81" s="77" t="str">
        <f>REPLACE(INDEX(GroupVertices[Group],MATCH("~"&amp;Vertices[[#This Row],[Vertex]],GroupVertices[Vertex],0)),1,1,"")</f>
        <v>1</v>
      </c>
      <c r="AQ81" s="45">
        <v>0</v>
      </c>
      <c r="AR81" s="46">
        <v>0</v>
      </c>
      <c r="AS81" s="45">
        <v>0</v>
      </c>
      <c r="AT81" s="46">
        <v>0</v>
      </c>
      <c r="AU81" s="45">
        <v>0</v>
      </c>
      <c r="AV81" s="46">
        <v>0</v>
      </c>
      <c r="AW81" s="45">
        <v>40</v>
      </c>
      <c r="AX81" s="46">
        <v>66.66666666666667</v>
      </c>
      <c r="AY81" s="45">
        <v>60</v>
      </c>
      <c r="AZ81" s="45"/>
      <c r="BA81" s="45"/>
      <c r="BB81" s="45"/>
      <c r="BC81" s="45"/>
      <c r="BD81" s="45"/>
      <c r="BE81" s="45"/>
      <c r="BF81" s="45"/>
      <c r="BG81" s="45"/>
      <c r="BH81" s="45"/>
      <c r="BI81" s="45"/>
      <c r="BJ81" s="2"/>
    </row>
    <row r="82" spans="1:62" ht="41.45" customHeight="1">
      <c r="A82" s="62" t="s">
        <v>281</v>
      </c>
      <c r="C82" s="63"/>
      <c r="D82" s="63" t="s">
        <v>64</v>
      </c>
      <c r="E82" s="64">
        <v>532.2879430635313</v>
      </c>
      <c r="F82" s="66">
        <v>100</v>
      </c>
      <c r="G82" s="96" t="str">
        <f>HYPERLINK("https://i.ytimg.com/vi/AspAxfAIiqk/default.jpg")</f>
        <v>https://i.ytimg.com/vi/AspAxfAIiqk/default.jpg</v>
      </c>
      <c r="H82" s="63"/>
      <c r="I82" s="67" t="s">
        <v>1810</v>
      </c>
      <c r="J82" s="68"/>
      <c r="K82" s="68" t="s">
        <v>75</v>
      </c>
      <c r="L82" s="47" t="s">
        <v>1906</v>
      </c>
      <c r="M82" s="71">
        <v>131.8826717158527</v>
      </c>
      <c r="N82" s="72">
        <v>6864.82275390625</v>
      </c>
      <c r="O82" s="72">
        <v>9798.232421875</v>
      </c>
      <c r="P82" s="73"/>
      <c r="Q82" s="74"/>
      <c r="R82" s="74"/>
      <c r="S82" s="82"/>
      <c r="T82" s="45">
        <v>5</v>
      </c>
      <c r="U82" s="45">
        <v>1</v>
      </c>
      <c r="V82" s="46">
        <v>0</v>
      </c>
      <c r="W82" s="46">
        <v>0.394231</v>
      </c>
      <c r="X82" s="46">
        <v>0.046709</v>
      </c>
      <c r="Y82" s="46">
        <v>0.010976</v>
      </c>
      <c r="Z82" s="46">
        <v>0.5</v>
      </c>
      <c r="AA82" s="46">
        <v>0</v>
      </c>
      <c r="AB82" s="69">
        <v>82</v>
      </c>
      <c r="AC82" s="69"/>
      <c r="AD82" s="70"/>
      <c r="AE82" s="77" t="s">
        <v>1810</v>
      </c>
      <c r="AF82" s="77" t="s">
        <v>1906</v>
      </c>
      <c r="AG82" s="77" t="s">
        <v>1993</v>
      </c>
      <c r="AH82" s="77" t="s">
        <v>2054</v>
      </c>
      <c r="AI82" s="77" t="s">
        <v>2153</v>
      </c>
      <c r="AJ82" s="77">
        <v>33172</v>
      </c>
      <c r="AK82" s="77">
        <v>27</v>
      </c>
      <c r="AL82" s="77">
        <v>994</v>
      </c>
      <c r="AM82" s="77">
        <v>0</v>
      </c>
      <c r="AN82" s="77" t="s">
        <v>2181</v>
      </c>
      <c r="AO82" s="98" t="str">
        <f>HYPERLINK("https://www.youtube.com/watch?v=AspAxfAIiqk")</f>
        <v>https://www.youtube.com/watch?v=AspAxfAIiqk</v>
      </c>
      <c r="AP82" s="77" t="str">
        <f>REPLACE(INDEX(GroupVertices[Group],MATCH("~"&amp;Vertices[[#This Row],[Vertex]],GroupVertices[Vertex],0)),1,1,"")</f>
        <v>3</v>
      </c>
      <c r="AQ82" s="45">
        <v>0</v>
      </c>
      <c r="AR82" s="46">
        <v>0</v>
      </c>
      <c r="AS82" s="45">
        <v>0</v>
      </c>
      <c r="AT82" s="46">
        <v>0</v>
      </c>
      <c r="AU82" s="45">
        <v>0</v>
      </c>
      <c r="AV82" s="46">
        <v>0</v>
      </c>
      <c r="AW82" s="45">
        <v>44</v>
      </c>
      <c r="AX82" s="46">
        <v>61.971830985915496</v>
      </c>
      <c r="AY82" s="45">
        <v>71</v>
      </c>
      <c r="AZ82" s="45"/>
      <c r="BA82" s="45"/>
      <c r="BB82" s="45"/>
      <c r="BC82" s="45"/>
      <c r="BD82" s="45"/>
      <c r="BE82" s="45"/>
      <c r="BF82" s="111" t="s">
        <v>1674</v>
      </c>
      <c r="BG82" s="111" t="s">
        <v>1674</v>
      </c>
      <c r="BH82" s="111" t="s">
        <v>1674</v>
      </c>
      <c r="BI82" s="111" t="s">
        <v>1674</v>
      </c>
      <c r="BJ82" s="2"/>
    </row>
    <row r="83" spans="1:62" ht="41.45" customHeight="1">
      <c r="A83" s="62" t="s">
        <v>283</v>
      </c>
      <c r="C83" s="63"/>
      <c r="D83" s="63" t="s">
        <v>64</v>
      </c>
      <c r="E83" s="64">
        <v>353.37114270049364</v>
      </c>
      <c r="F83" s="66">
        <v>100</v>
      </c>
      <c r="G83" s="96" t="str">
        <f>HYPERLINK("https://i.ytimg.com/vi/9BYixihzhy4/default.jpg")</f>
        <v>https://i.ytimg.com/vi/9BYixihzhy4/default.jpg</v>
      </c>
      <c r="H83" s="63"/>
      <c r="I83" s="67" t="s">
        <v>1813</v>
      </c>
      <c r="J83" s="68"/>
      <c r="K83" s="68" t="s">
        <v>75</v>
      </c>
      <c r="L83" s="47" t="s">
        <v>1909</v>
      </c>
      <c r="M83" s="71">
        <v>25.069324124620195</v>
      </c>
      <c r="N83" s="72">
        <v>7669.85205078125</v>
      </c>
      <c r="O83" s="72">
        <v>175.67117309570312</v>
      </c>
      <c r="P83" s="73"/>
      <c r="Q83" s="74"/>
      <c r="R83" s="74"/>
      <c r="S83" s="82"/>
      <c r="T83" s="45">
        <v>1</v>
      </c>
      <c r="U83" s="45">
        <v>2</v>
      </c>
      <c r="V83" s="46">
        <v>0</v>
      </c>
      <c r="W83" s="46">
        <v>0.374429</v>
      </c>
      <c r="X83" s="46">
        <v>0.02043</v>
      </c>
      <c r="Y83" s="46">
        <v>0.010627</v>
      </c>
      <c r="Z83" s="46">
        <v>0.5</v>
      </c>
      <c r="AA83" s="46">
        <v>0</v>
      </c>
      <c r="AB83" s="69">
        <v>83</v>
      </c>
      <c r="AC83" s="69"/>
      <c r="AD83" s="70"/>
      <c r="AE83" s="77" t="s">
        <v>1813</v>
      </c>
      <c r="AF83" s="77" t="s">
        <v>1909</v>
      </c>
      <c r="AG83" s="77" t="s">
        <v>1996</v>
      </c>
      <c r="AH83" s="77" t="s">
        <v>2063</v>
      </c>
      <c r="AI83" s="77" t="s">
        <v>2156</v>
      </c>
      <c r="AJ83" s="77">
        <v>6337</v>
      </c>
      <c r="AK83" s="77">
        <v>20</v>
      </c>
      <c r="AL83" s="77">
        <v>375</v>
      </c>
      <c r="AM83" s="77">
        <v>0</v>
      </c>
      <c r="AN83" s="77" t="s">
        <v>2181</v>
      </c>
      <c r="AO83" s="98" t="str">
        <f>HYPERLINK("https://www.youtube.com/watch?v=9BYixihzhy4")</f>
        <v>https://www.youtube.com/watch?v=9BYixihzhy4</v>
      </c>
      <c r="AP83" s="77" t="str">
        <f>REPLACE(INDEX(GroupVertices[Group],MATCH("~"&amp;Vertices[[#This Row],[Vertex]],GroupVertices[Vertex],0)),1,1,"")</f>
        <v>6</v>
      </c>
      <c r="AQ83" s="45">
        <v>3</v>
      </c>
      <c r="AR83" s="46">
        <v>5.357142857142857</v>
      </c>
      <c r="AS83" s="45">
        <v>0</v>
      </c>
      <c r="AT83" s="46">
        <v>0</v>
      </c>
      <c r="AU83" s="45">
        <v>0</v>
      </c>
      <c r="AV83" s="46">
        <v>0</v>
      </c>
      <c r="AW83" s="45">
        <v>39</v>
      </c>
      <c r="AX83" s="46">
        <v>69.64285714285714</v>
      </c>
      <c r="AY83" s="45">
        <v>56</v>
      </c>
      <c r="AZ83" s="45"/>
      <c r="BA83" s="45"/>
      <c r="BB83" s="45"/>
      <c r="BC83" s="45"/>
      <c r="BD83" s="45"/>
      <c r="BE83" s="45"/>
      <c r="BF83" s="111" t="s">
        <v>1674</v>
      </c>
      <c r="BG83" s="111" t="s">
        <v>1674</v>
      </c>
      <c r="BH83" s="111" t="s">
        <v>1674</v>
      </c>
      <c r="BI83" s="111" t="s">
        <v>1674</v>
      </c>
      <c r="BJ83" s="2"/>
    </row>
    <row r="84" spans="1:62" ht="41.45" customHeight="1">
      <c r="A84" s="62" t="s">
        <v>304</v>
      </c>
      <c r="C84" s="63"/>
      <c r="D84" s="63" t="s">
        <v>64</v>
      </c>
      <c r="E84" s="64">
        <v>689.5176217225768</v>
      </c>
      <c r="F84" s="66">
        <v>100</v>
      </c>
      <c r="G84" s="96" t="str">
        <f>HYPERLINK("https://i.ytimg.com/vi/u5F7YeS2ODU/default.jpg")</f>
        <v>https://i.ytimg.com/vi/u5F7YeS2ODU/default.jpg</v>
      </c>
      <c r="H84" s="63"/>
      <c r="I84" s="67" t="s">
        <v>1819</v>
      </c>
      <c r="J84" s="68"/>
      <c r="K84" s="68" t="s">
        <v>75</v>
      </c>
      <c r="L84" s="47" t="s">
        <v>1915</v>
      </c>
      <c r="M84" s="71">
        <v>565.3613676754422</v>
      </c>
      <c r="N84" s="72">
        <v>4531.826171875</v>
      </c>
      <c r="O84" s="72">
        <v>9470.419921875</v>
      </c>
      <c r="P84" s="73"/>
      <c r="Q84" s="74"/>
      <c r="R84" s="74"/>
      <c r="S84" s="82"/>
      <c r="T84" s="45">
        <v>1</v>
      </c>
      <c r="U84" s="45">
        <v>0</v>
      </c>
      <c r="V84" s="46">
        <v>0</v>
      </c>
      <c r="W84" s="46">
        <v>0.30597</v>
      </c>
      <c r="X84" s="46">
        <v>0.003342</v>
      </c>
      <c r="Y84" s="46">
        <v>0.010509</v>
      </c>
      <c r="Z84" s="46">
        <v>0</v>
      </c>
      <c r="AA84" s="46">
        <v>0</v>
      </c>
      <c r="AB84" s="69">
        <v>84</v>
      </c>
      <c r="AC84" s="69"/>
      <c r="AD84" s="70"/>
      <c r="AE84" s="77" t="s">
        <v>1819</v>
      </c>
      <c r="AF84" s="77" t="s">
        <v>1915</v>
      </c>
      <c r="AG84" s="77" t="s">
        <v>2001</v>
      </c>
      <c r="AH84" s="77" t="s">
        <v>2067</v>
      </c>
      <c r="AI84" s="77" t="s">
        <v>2162</v>
      </c>
      <c r="AJ84" s="77">
        <v>142076</v>
      </c>
      <c r="AK84" s="77">
        <v>379</v>
      </c>
      <c r="AL84" s="77">
        <v>13657</v>
      </c>
      <c r="AM84" s="77">
        <v>0</v>
      </c>
      <c r="AN84" s="77" t="s">
        <v>2181</v>
      </c>
      <c r="AO84" s="98" t="str">
        <f>HYPERLINK("https://www.youtube.com/watch?v=u5F7YeS2ODU")</f>
        <v>https://www.youtube.com/watch?v=u5F7YeS2ODU</v>
      </c>
      <c r="AP84" s="77" t="str">
        <f>REPLACE(INDEX(GroupVertices[Group],MATCH("~"&amp;Vertices[[#This Row],[Vertex]],GroupVertices[Vertex],0)),1,1,"")</f>
        <v>3</v>
      </c>
      <c r="AQ84" s="45">
        <v>2</v>
      </c>
      <c r="AR84" s="46">
        <v>0.8403361344537815</v>
      </c>
      <c r="AS84" s="45">
        <v>3</v>
      </c>
      <c r="AT84" s="46">
        <v>1.2605042016806722</v>
      </c>
      <c r="AU84" s="45">
        <v>0</v>
      </c>
      <c r="AV84" s="46">
        <v>0</v>
      </c>
      <c r="AW84" s="45">
        <v>177</v>
      </c>
      <c r="AX84" s="46">
        <v>74.36974789915966</v>
      </c>
      <c r="AY84" s="45">
        <v>238</v>
      </c>
      <c r="AZ84" s="45"/>
      <c r="BA84" s="45"/>
      <c r="BB84" s="45"/>
      <c r="BC84" s="45"/>
      <c r="BD84" s="45"/>
      <c r="BE84" s="45"/>
      <c r="BF84" s="45"/>
      <c r="BG84" s="45"/>
      <c r="BH84" s="45"/>
      <c r="BI84" s="45"/>
      <c r="BJ84" s="2"/>
    </row>
    <row r="85" spans="1:62" ht="41.45" customHeight="1">
      <c r="A85" s="83" t="s">
        <v>290</v>
      </c>
      <c r="C85" s="84"/>
      <c r="D85" s="84" t="s">
        <v>64</v>
      </c>
      <c r="E85" s="85">
        <v>657.5275540055887</v>
      </c>
      <c r="F85" s="86">
        <v>100</v>
      </c>
      <c r="G85" s="97" t="str">
        <f>HYPERLINK("https://i.ytimg.com/vi/WrvsqR299MU/default.jpg")</f>
        <v>https://i.ytimg.com/vi/WrvsqR299MU/default.jpg</v>
      </c>
      <c r="H85" s="84"/>
      <c r="I85" s="87" t="s">
        <v>1821</v>
      </c>
      <c r="J85" s="88"/>
      <c r="K85" s="88" t="s">
        <v>75</v>
      </c>
      <c r="L85" s="112" t="s">
        <v>1917</v>
      </c>
      <c r="M85" s="89">
        <v>420.4836994948691</v>
      </c>
      <c r="N85" s="90">
        <v>6825.57177734375</v>
      </c>
      <c r="O85" s="90">
        <v>6294.76123046875</v>
      </c>
      <c r="P85" s="91"/>
      <c r="Q85" s="92"/>
      <c r="R85" s="92"/>
      <c r="S85" s="93"/>
      <c r="T85" s="45">
        <v>2</v>
      </c>
      <c r="U85" s="45">
        <v>3</v>
      </c>
      <c r="V85" s="46">
        <v>0</v>
      </c>
      <c r="W85" s="46">
        <v>0.398058</v>
      </c>
      <c r="X85" s="46">
        <v>0.035942</v>
      </c>
      <c r="Y85" s="46">
        <v>0.010839</v>
      </c>
      <c r="Z85" s="46">
        <v>0.5</v>
      </c>
      <c r="AA85" s="46">
        <v>0</v>
      </c>
      <c r="AB85" s="94">
        <v>85</v>
      </c>
      <c r="AC85" s="94"/>
      <c r="AD85" s="95"/>
      <c r="AE85" s="77" t="s">
        <v>1821</v>
      </c>
      <c r="AF85" s="77" t="s">
        <v>1917</v>
      </c>
      <c r="AG85" s="77" t="s">
        <v>2003</v>
      </c>
      <c r="AH85" s="77" t="s">
        <v>2068</v>
      </c>
      <c r="AI85" s="77" t="s">
        <v>2164</v>
      </c>
      <c r="AJ85" s="77">
        <v>105678</v>
      </c>
      <c r="AK85" s="77">
        <v>1087</v>
      </c>
      <c r="AL85" s="77">
        <v>8794</v>
      </c>
      <c r="AM85" s="77">
        <v>0</v>
      </c>
      <c r="AN85" s="77" t="s">
        <v>2181</v>
      </c>
      <c r="AO85" s="98" t="str">
        <f>HYPERLINK("https://www.youtube.com/watch?v=WrvsqR299MU")</f>
        <v>https://www.youtube.com/watch?v=WrvsqR299MU</v>
      </c>
      <c r="AP85" s="77" t="str">
        <f>REPLACE(INDEX(GroupVertices[Group],MATCH("~"&amp;Vertices[[#This Row],[Vertex]],GroupVertices[Vertex],0)),1,1,"")</f>
        <v>3</v>
      </c>
      <c r="AQ85" s="45">
        <v>1</v>
      </c>
      <c r="AR85" s="46">
        <v>1.1764705882352942</v>
      </c>
      <c r="AS85" s="45">
        <v>2</v>
      </c>
      <c r="AT85" s="46">
        <v>2.3529411764705883</v>
      </c>
      <c r="AU85" s="45">
        <v>0</v>
      </c>
      <c r="AV85" s="46">
        <v>0</v>
      </c>
      <c r="AW85" s="45">
        <v>68</v>
      </c>
      <c r="AX85" s="46">
        <v>80</v>
      </c>
      <c r="AY85" s="45">
        <v>85</v>
      </c>
      <c r="AZ85" s="45"/>
      <c r="BA85" s="45"/>
      <c r="BB85" s="45"/>
      <c r="BC85" s="45"/>
      <c r="BD85" s="45"/>
      <c r="BE85" s="45"/>
      <c r="BF85" s="111" t="s">
        <v>1674</v>
      </c>
      <c r="BG85" s="111" t="s">
        <v>1674</v>
      </c>
      <c r="BH85" s="111" t="s">
        <v>1674</v>
      </c>
      <c r="BI85" s="111" t="s">
        <v>1674</v>
      </c>
      <c r="BJ85" s="2"/>
    </row>
    <row r="86" spans="1:62" ht="41.45" customHeight="1">
      <c r="A86" s="62" t="s">
        <v>1728</v>
      </c>
      <c r="C86" s="63"/>
      <c r="D86" s="63" t="s">
        <v>64</v>
      </c>
      <c r="E86" s="64">
        <v>311.20430421664537</v>
      </c>
      <c r="F86" s="66">
        <v>100</v>
      </c>
      <c r="G86" s="96" t="str">
        <f>HYPERLINK("https://i.ytimg.com/vi/DYBTTdmLqoY/default_live.jpg")</f>
        <v>https://i.ytimg.com/vi/DYBTTdmLqoY/default_live.jpg</v>
      </c>
      <c r="H86" s="63" t="s">
        <v>51</v>
      </c>
      <c r="I86" s="67" t="s">
        <v>1822</v>
      </c>
      <c r="J86" s="68"/>
      <c r="K86" s="68" t="s">
        <v>75</v>
      </c>
      <c r="L86" s="47" t="s">
        <v>1918</v>
      </c>
      <c r="M86" s="71">
        <v>16.92149768455115</v>
      </c>
      <c r="N86" s="72">
        <v>5678.9443359375</v>
      </c>
      <c r="O86" s="72">
        <v>4190.6484375</v>
      </c>
      <c r="P86" s="73"/>
      <c r="Q86" s="74"/>
      <c r="R86" s="74"/>
      <c r="S86" s="82"/>
      <c r="T86" s="45">
        <v>0</v>
      </c>
      <c r="U86" s="45">
        <v>0</v>
      </c>
      <c r="V86" s="46">
        <v>0</v>
      </c>
      <c r="W86" s="46">
        <v>0</v>
      </c>
      <c r="X86" s="46">
        <v>0</v>
      </c>
      <c r="Y86" s="46">
        <v>0</v>
      </c>
      <c r="Z86" s="46">
        <v>0</v>
      </c>
      <c r="AA86" s="46">
        <v>0</v>
      </c>
      <c r="AB86" s="69">
        <v>86</v>
      </c>
      <c r="AC86" s="69"/>
      <c r="AD86" s="70"/>
      <c r="AE86" s="77" t="s">
        <v>1822</v>
      </c>
      <c r="AF86" s="77" t="s">
        <v>1918</v>
      </c>
      <c r="AG86" s="77"/>
      <c r="AH86" s="77" t="s">
        <v>2069</v>
      </c>
      <c r="AI86" s="77" t="s">
        <v>2165</v>
      </c>
      <c r="AJ86" s="77">
        <v>4290</v>
      </c>
      <c r="AK86" s="77">
        <v>0</v>
      </c>
      <c r="AL86" s="77">
        <v>431</v>
      </c>
      <c r="AM86" s="77">
        <v>0</v>
      </c>
      <c r="AN86" s="77" t="s">
        <v>2181</v>
      </c>
      <c r="AO86" s="98" t="str">
        <f>HYPERLINK("https://www.youtube.com/watch?v=DYBTTdmLqoY")</f>
        <v>https://www.youtube.com/watch?v=DYBTTdmLqoY</v>
      </c>
      <c r="AP86" s="77" t="str">
        <f>REPLACE(INDEX(GroupVertices[Group],MATCH("~"&amp;Vertices[[#This Row],[Vertex]],GroupVertices[Vertex],0)),1,1,"")</f>
        <v>4</v>
      </c>
      <c r="AQ86" s="45">
        <v>2</v>
      </c>
      <c r="AR86" s="46">
        <v>3.3333333333333335</v>
      </c>
      <c r="AS86" s="45">
        <v>2</v>
      </c>
      <c r="AT86" s="46">
        <v>3.3333333333333335</v>
      </c>
      <c r="AU86" s="45">
        <v>0</v>
      </c>
      <c r="AV86" s="46">
        <v>0</v>
      </c>
      <c r="AW86" s="45">
        <v>37</v>
      </c>
      <c r="AX86" s="46">
        <v>61.666666666666664</v>
      </c>
      <c r="AY86" s="45">
        <v>60</v>
      </c>
      <c r="AZ86" s="45"/>
      <c r="BA86" s="45"/>
      <c r="BB86" s="45"/>
      <c r="BC86" s="45"/>
      <c r="BD86" s="45"/>
      <c r="BE86" s="45"/>
      <c r="BF86" s="45"/>
      <c r="BG86" s="45"/>
      <c r="BH86" s="45"/>
      <c r="BI86" s="45"/>
      <c r="BJ86" s="2"/>
    </row>
    <row r="87" spans="1:62" ht="41.45" customHeight="1">
      <c r="A87" s="62" t="s">
        <v>1714</v>
      </c>
      <c r="C87" s="63"/>
      <c r="D87" s="63" t="s">
        <v>64</v>
      </c>
      <c r="E87" s="64">
        <v>1000</v>
      </c>
      <c r="F87" s="66">
        <v>100</v>
      </c>
      <c r="G87" s="96" t="str">
        <f>HYPERLINK("https://i.ytimg.com/vi/-JbSg2UnK2k/default.jpg")</f>
        <v>https://i.ytimg.com/vi/-JbSg2UnK2k/default.jpg</v>
      </c>
      <c r="H87" s="63" t="s">
        <v>51</v>
      </c>
      <c r="I87" s="67" t="s">
        <v>1823</v>
      </c>
      <c r="J87" s="68"/>
      <c r="K87" s="68" t="s">
        <v>75</v>
      </c>
      <c r="L87" s="67" t="s">
        <v>1919</v>
      </c>
      <c r="M87" s="71">
        <v>9999</v>
      </c>
      <c r="N87" s="72">
        <v>6443.68994140625</v>
      </c>
      <c r="O87" s="72">
        <v>725.1981201171875</v>
      </c>
      <c r="P87" s="73"/>
      <c r="Q87" s="74"/>
      <c r="R87" s="74"/>
      <c r="S87" s="82"/>
      <c r="T87" s="45">
        <v>0</v>
      </c>
      <c r="U87" s="45">
        <v>0</v>
      </c>
      <c r="V87" s="46">
        <v>0</v>
      </c>
      <c r="W87" s="46">
        <v>0</v>
      </c>
      <c r="X87" s="46">
        <v>0</v>
      </c>
      <c r="Y87" s="46">
        <v>0</v>
      </c>
      <c r="Z87" s="46">
        <v>0</v>
      </c>
      <c r="AA87" s="46">
        <v>0</v>
      </c>
      <c r="AB87" s="69">
        <v>87</v>
      </c>
      <c r="AC87" s="69"/>
      <c r="AD87" s="70"/>
      <c r="AE87" s="77" t="s">
        <v>1823</v>
      </c>
      <c r="AF87" s="77" t="s">
        <v>1919</v>
      </c>
      <c r="AG87" s="77" t="s">
        <v>2004</v>
      </c>
      <c r="AH87" s="77" t="s">
        <v>2070</v>
      </c>
      <c r="AI87" s="77" t="s">
        <v>2166</v>
      </c>
      <c r="AJ87" s="77">
        <v>2512114</v>
      </c>
      <c r="AK87" s="77">
        <v>0</v>
      </c>
      <c r="AL87" s="77">
        <v>10955</v>
      </c>
      <c r="AM87" s="77">
        <v>0</v>
      </c>
      <c r="AN87" s="77" t="s">
        <v>2181</v>
      </c>
      <c r="AO87" s="98" t="str">
        <f>HYPERLINK("https://www.youtube.com/watch?v=-JbSg2UnK2k")</f>
        <v>https://www.youtube.com/watch?v=-JbSg2UnK2k</v>
      </c>
      <c r="AP87" s="77" t="str">
        <f>REPLACE(INDEX(GroupVertices[Group],MATCH("~"&amp;Vertices[[#This Row],[Vertex]],GroupVertices[Vertex],0)),1,1,"")</f>
        <v>4</v>
      </c>
      <c r="AQ87" s="45">
        <v>0</v>
      </c>
      <c r="AR87" s="46">
        <v>0</v>
      </c>
      <c r="AS87" s="45">
        <v>0</v>
      </c>
      <c r="AT87" s="46">
        <v>0</v>
      </c>
      <c r="AU87" s="45">
        <v>0</v>
      </c>
      <c r="AV87" s="46">
        <v>0</v>
      </c>
      <c r="AW87" s="45">
        <v>13</v>
      </c>
      <c r="AX87" s="46">
        <v>68.42105263157895</v>
      </c>
      <c r="AY87" s="45">
        <v>19</v>
      </c>
      <c r="AZ87" s="45"/>
      <c r="BA87" s="45"/>
      <c r="BB87" s="45"/>
      <c r="BC87" s="45"/>
      <c r="BD87" s="45"/>
      <c r="BE87" s="45"/>
      <c r="BF87" s="45"/>
      <c r="BG87" s="45"/>
      <c r="BH87" s="45"/>
      <c r="BI87" s="45"/>
      <c r="BJ87" s="2"/>
    </row>
    <row r="88" spans="1:62" ht="41.45" customHeight="1">
      <c r="A88" s="62" t="s">
        <v>1715</v>
      </c>
      <c r="C88" s="63"/>
      <c r="D88" s="63" t="s">
        <v>64</v>
      </c>
      <c r="E88" s="64">
        <v>479.0267322010804</v>
      </c>
      <c r="F88" s="66">
        <v>100</v>
      </c>
      <c r="G88" s="96" t="str">
        <f>HYPERLINK("https://i.ytimg.com/vi/lHqBJZ6pvm0/default.jpg")</f>
        <v>https://i.ytimg.com/vi/lHqBJZ6pvm0/default.jpg</v>
      </c>
      <c r="H88" s="63" t="s">
        <v>51</v>
      </c>
      <c r="I88" s="67" t="s">
        <v>1824</v>
      </c>
      <c r="J88" s="68"/>
      <c r="K88" s="68" t="s">
        <v>75</v>
      </c>
      <c r="L88" s="47" t="s">
        <v>1920</v>
      </c>
      <c r="M88" s="71">
        <v>80.51195943664843</v>
      </c>
      <c r="N88" s="72">
        <v>6443.68994140625</v>
      </c>
      <c r="O88" s="72">
        <v>1880.348388671875</v>
      </c>
      <c r="P88" s="73"/>
      <c r="Q88" s="74"/>
      <c r="R88" s="74"/>
      <c r="S88" s="82"/>
      <c r="T88" s="45">
        <v>0</v>
      </c>
      <c r="U88" s="45">
        <v>0</v>
      </c>
      <c r="V88" s="46">
        <v>0</v>
      </c>
      <c r="W88" s="46">
        <v>0</v>
      </c>
      <c r="X88" s="46">
        <v>0</v>
      </c>
      <c r="Y88" s="46">
        <v>0</v>
      </c>
      <c r="Z88" s="46">
        <v>0</v>
      </c>
      <c r="AA88" s="46">
        <v>0</v>
      </c>
      <c r="AB88" s="69">
        <v>88</v>
      </c>
      <c r="AC88" s="69"/>
      <c r="AD88" s="70"/>
      <c r="AE88" s="77" t="s">
        <v>1824</v>
      </c>
      <c r="AF88" s="77" t="s">
        <v>1920</v>
      </c>
      <c r="AG88" s="77" t="s">
        <v>2005</v>
      </c>
      <c r="AH88" s="77" t="s">
        <v>2071</v>
      </c>
      <c r="AI88" s="77" t="s">
        <v>2167</v>
      </c>
      <c r="AJ88" s="77">
        <v>20266</v>
      </c>
      <c r="AK88" s="77">
        <v>43</v>
      </c>
      <c r="AL88" s="77">
        <v>1409</v>
      </c>
      <c r="AM88" s="77">
        <v>0</v>
      </c>
      <c r="AN88" s="77" t="s">
        <v>2181</v>
      </c>
      <c r="AO88" s="98" t="str">
        <f>HYPERLINK("https://www.youtube.com/watch?v=lHqBJZ6pvm0")</f>
        <v>https://www.youtube.com/watch?v=lHqBJZ6pvm0</v>
      </c>
      <c r="AP88" s="77" t="str">
        <f>REPLACE(INDEX(GroupVertices[Group],MATCH("~"&amp;Vertices[[#This Row],[Vertex]],GroupVertices[Vertex],0)),1,1,"")</f>
        <v>4</v>
      </c>
      <c r="AQ88" s="45">
        <v>0</v>
      </c>
      <c r="AR88" s="46">
        <v>0</v>
      </c>
      <c r="AS88" s="45">
        <v>2</v>
      </c>
      <c r="AT88" s="46">
        <v>1.5151515151515151</v>
      </c>
      <c r="AU88" s="45">
        <v>0</v>
      </c>
      <c r="AV88" s="46">
        <v>0</v>
      </c>
      <c r="AW88" s="45">
        <v>128</v>
      </c>
      <c r="AX88" s="46">
        <v>96.96969696969697</v>
      </c>
      <c r="AY88" s="45">
        <v>132</v>
      </c>
      <c r="AZ88" s="45"/>
      <c r="BA88" s="45"/>
      <c r="BB88" s="45"/>
      <c r="BC88" s="45"/>
      <c r="BD88" s="45"/>
      <c r="BE88" s="45"/>
      <c r="BF88" s="45"/>
      <c r="BG88" s="45"/>
      <c r="BH88" s="45"/>
      <c r="BI88" s="45"/>
      <c r="BJ88" s="2"/>
    </row>
    <row r="89" spans="1:62" ht="41.45" customHeight="1">
      <c r="A89" s="62" t="s">
        <v>1716</v>
      </c>
      <c r="C89" s="63"/>
      <c r="D89" s="63" t="s">
        <v>64</v>
      </c>
      <c r="E89" s="64">
        <v>523.3277223845762</v>
      </c>
      <c r="F89" s="66">
        <v>100</v>
      </c>
      <c r="G89" s="96" t="str">
        <f>HYPERLINK("https://i.ytimg.com/vi/5KGnNiCe9bM/default.jpg")</f>
        <v>https://i.ytimg.com/vi/5KGnNiCe9bM/default.jpg</v>
      </c>
      <c r="H89" s="63" t="s">
        <v>51</v>
      </c>
      <c r="I89" s="67" t="s">
        <v>1825</v>
      </c>
      <c r="J89" s="68"/>
      <c r="K89" s="68" t="s">
        <v>75</v>
      </c>
      <c r="L89" s="47" t="s">
        <v>1921</v>
      </c>
      <c r="M89" s="71">
        <v>121.37846361847008</v>
      </c>
      <c r="N89" s="72">
        <v>4914.19873046875</v>
      </c>
      <c r="O89" s="72">
        <v>725.1981201171875</v>
      </c>
      <c r="P89" s="73"/>
      <c r="Q89" s="74"/>
      <c r="R89" s="74"/>
      <c r="S89" s="82"/>
      <c r="T89" s="45">
        <v>0</v>
      </c>
      <c r="U89" s="45">
        <v>0</v>
      </c>
      <c r="V89" s="46">
        <v>0</v>
      </c>
      <c r="W89" s="46">
        <v>0</v>
      </c>
      <c r="X89" s="46">
        <v>0</v>
      </c>
      <c r="Y89" s="46">
        <v>0</v>
      </c>
      <c r="Z89" s="46">
        <v>0</v>
      </c>
      <c r="AA89" s="46">
        <v>0</v>
      </c>
      <c r="AB89" s="69">
        <v>89</v>
      </c>
      <c r="AC89" s="69"/>
      <c r="AD89" s="70"/>
      <c r="AE89" s="77" t="s">
        <v>1825</v>
      </c>
      <c r="AF89" s="77" t="s">
        <v>1921</v>
      </c>
      <c r="AG89" s="77" t="s">
        <v>2006</v>
      </c>
      <c r="AH89" s="77" t="s">
        <v>2072</v>
      </c>
      <c r="AI89" s="77" t="s">
        <v>2168</v>
      </c>
      <c r="AJ89" s="77">
        <v>30533</v>
      </c>
      <c r="AK89" s="77">
        <v>175</v>
      </c>
      <c r="AL89" s="77">
        <v>4313</v>
      </c>
      <c r="AM89" s="77">
        <v>0</v>
      </c>
      <c r="AN89" s="77" t="s">
        <v>2181</v>
      </c>
      <c r="AO89" s="98" t="str">
        <f>HYPERLINK("https://www.youtube.com/watch?v=5KGnNiCe9bM")</f>
        <v>https://www.youtube.com/watch?v=5KGnNiCe9bM</v>
      </c>
      <c r="AP89" s="77" t="str">
        <f>REPLACE(INDEX(GroupVertices[Group],MATCH("~"&amp;Vertices[[#This Row],[Vertex]],GroupVertices[Vertex],0)),1,1,"")</f>
        <v>4</v>
      </c>
      <c r="AQ89" s="45">
        <v>0</v>
      </c>
      <c r="AR89" s="46">
        <v>0</v>
      </c>
      <c r="AS89" s="45">
        <v>0</v>
      </c>
      <c r="AT89" s="46">
        <v>0</v>
      </c>
      <c r="AU89" s="45">
        <v>0</v>
      </c>
      <c r="AV89" s="46">
        <v>0</v>
      </c>
      <c r="AW89" s="45">
        <v>31</v>
      </c>
      <c r="AX89" s="46">
        <v>100</v>
      </c>
      <c r="AY89" s="45">
        <v>31</v>
      </c>
      <c r="AZ89" s="45"/>
      <c r="BA89" s="45"/>
      <c r="BB89" s="45"/>
      <c r="BC89" s="45"/>
      <c r="BD89" s="45"/>
      <c r="BE89" s="45"/>
      <c r="BF89" s="45"/>
      <c r="BG89" s="45"/>
      <c r="BH89" s="45"/>
      <c r="BI89" s="45"/>
      <c r="BJ89" s="2"/>
    </row>
    <row r="90" spans="1:62" ht="41.45" customHeight="1">
      <c r="A90" s="62" t="s">
        <v>1717</v>
      </c>
      <c r="C90" s="63"/>
      <c r="D90" s="63" t="s">
        <v>64</v>
      </c>
      <c r="E90" s="64">
        <v>501.8601890672546</v>
      </c>
      <c r="F90" s="66">
        <v>100</v>
      </c>
      <c r="G90" s="96" t="str">
        <f>HYPERLINK("https://i.ytimg.com/vi/C38ZX1BcGrE/default.jpg")</f>
        <v>https://i.ytimg.com/vi/C38ZX1BcGrE/default.jpg</v>
      </c>
      <c r="H90" s="63" t="s">
        <v>51</v>
      </c>
      <c r="I90" s="67" t="s">
        <v>1826</v>
      </c>
      <c r="J90" s="68"/>
      <c r="K90" s="68" t="s">
        <v>75</v>
      </c>
      <c r="L90" s="67" t="s">
        <v>1922</v>
      </c>
      <c r="M90" s="71">
        <v>99.48640430221225</v>
      </c>
      <c r="N90" s="72">
        <v>7208.43603515625</v>
      </c>
      <c r="O90" s="72">
        <v>1880.348388671875</v>
      </c>
      <c r="P90" s="73"/>
      <c r="Q90" s="74"/>
      <c r="R90" s="74"/>
      <c r="S90" s="82"/>
      <c r="T90" s="45">
        <v>0</v>
      </c>
      <c r="U90" s="45">
        <v>0</v>
      </c>
      <c r="V90" s="46">
        <v>0</v>
      </c>
      <c r="W90" s="46">
        <v>0</v>
      </c>
      <c r="X90" s="46">
        <v>0</v>
      </c>
      <c r="Y90" s="46">
        <v>0</v>
      </c>
      <c r="Z90" s="46">
        <v>0</v>
      </c>
      <c r="AA90" s="46">
        <v>0</v>
      </c>
      <c r="AB90" s="69">
        <v>90</v>
      </c>
      <c r="AC90" s="69"/>
      <c r="AD90" s="70"/>
      <c r="AE90" s="77" t="s">
        <v>1826</v>
      </c>
      <c r="AF90" s="77" t="s">
        <v>1922</v>
      </c>
      <c r="AG90" s="77" t="s">
        <v>2007</v>
      </c>
      <c r="AH90" s="77" t="s">
        <v>2051</v>
      </c>
      <c r="AI90" s="77" t="s">
        <v>2169</v>
      </c>
      <c r="AJ90" s="77">
        <v>25033</v>
      </c>
      <c r="AK90" s="77">
        <v>0</v>
      </c>
      <c r="AL90" s="77">
        <v>398</v>
      </c>
      <c r="AM90" s="77">
        <v>0</v>
      </c>
      <c r="AN90" s="77" t="s">
        <v>2181</v>
      </c>
      <c r="AO90" s="98" t="str">
        <f>HYPERLINK("https://www.youtube.com/watch?v=C38ZX1BcGrE")</f>
        <v>https://www.youtube.com/watch?v=C38ZX1BcGrE</v>
      </c>
      <c r="AP90" s="77" t="str">
        <f>REPLACE(INDEX(GroupVertices[Group],MATCH("~"&amp;Vertices[[#This Row],[Vertex]],GroupVertices[Vertex],0)),1,1,"")</f>
        <v>4</v>
      </c>
      <c r="AQ90" s="45">
        <v>3</v>
      </c>
      <c r="AR90" s="46">
        <v>13.043478260869565</v>
      </c>
      <c r="AS90" s="45">
        <v>0</v>
      </c>
      <c r="AT90" s="46">
        <v>0</v>
      </c>
      <c r="AU90" s="45">
        <v>0</v>
      </c>
      <c r="AV90" s="46">
        <v>0</v>
      </c>
      <c r="AW90" s="45">
        <v>13</v>
      </c>
      <c r="AX90" s="46">
        <v>56.52173913043478</v>
      </c>
      <c r="AY90" s="45">
        <v>23</v>
      </c>
      <c r="AZ90" s="45"/>
      <c r="BA90" s="45"/>
      <c r="BB90" s="45"/>
      <c r="BC90" s="45"/>
      <c r="BD90" s="45"/>
      <c r="BE90" s="45"/>
      <c r="BF90" s="45"/>
      <c r="BG90" s="45"/>
      <c r="BH90" s="45"/>
      <c r="BI90" s="45"/>
      <c r="BJ90" s="2"/>
    </row>
    <row r="91" spans="1:62" ht="41.45" customHeight="1">
      <c r="A91" s="62" t="s">
        <v>1718</v>
      </c>
      <c r="C91" s="63"/>
      <c r="D91" s="63" t="s">
        <v>64</v>
      </c>
      <c r="E91" s="64">
        <v>367.20125492438467</v>
      </c>
      <c r="F91" s="66">
        <v>100</v>
      </c>
      <c r="G91" s="96" t="str">
        <f>HYPERLINK("https://i.ytimg.com/vi/uqPALvUs0MU/default.jpg")</f>
        <v>https://i.ytimg.com/vi/uqPALvUs0MU/default.jpg</v>
      </c>
      <c r="H91" s="63" t="s">
        <v>51</v>
      </c>
      <c r="I91" s="67" t="s">
        <v>1827</v>
      </c>
      <c r="J91" s="68"/>
      <c r="K91" s="68" t="s">
        <v>75</v>
      </c>
      <c r="L91" s="47" t="s">
        <v>1923</v>
      </c>
      <c r="M91" s="71">
        <v>28.51234799890438</v>
      </c>
      <c r="N91" s="72">
        <v>7208.43603515625</v>
      </c>
      <c r="O91" s="72">
        <v>3035.49853515625</v>
      </c>
      <c r="P91" s="73"/>
      <c r="Q91" s="74"/>
      <c r="R91" s="74"/>
      <c r="S91" s="82"/>
      <c r="T91" s="45">
        <v>0</v>
      </c>
      <c r="U91" s="45">
        <v>0</v>
      </c>
      <c r="V91" s="46">
        <v>0</v>
      </c>
      <c r="W91" s="46">
        <v>0</v>
      </c>
      <c r="X91" s="46">
        <v>0</v>
      </c>
      <c r="Y91" s="46">
        <v>0</v>
      </c>
      <c r="Z91" s="46">
        <v>0</v>
      </c>
      <c r="AA91" s="46">
        <v>0</v>
      </c>
      <c r="AB91" s="69">
        <v>91</v>
      </c>
      <c r="AC91" s="69"/>
      <c r="AD91" s="70"/>
      <c r="AE91" s="77" t="s">
        <v>1827</v>
      </c>
      <c r="AF91" s="77" t="s">
        <v>1923</v>
      </c>
      <c r="AG91" s="77" t="s">
        <v>2008</v>
      </c>
      <c r="AH91" s="77" t="s">
        <v>2073</v>
      </c>
      <c r="AI91" s="77" t="s">
        <v>2170</v>
      </c>
      <c r="AJ91" s="77">
        <v>7202</v>
      </c>
      <c r="AK91" s="77">
        <v>29</v>
      </c>
      <c r="AL91" s="77">
        <v>725</v>
      </c>
      <c r="AM91" s="77">
        <v>0</v>
      </c>
      <c r="AN91" s="77" t="s">
        <v>2181</v>
      </c>
      <c r="AO91" s="98" t="str">
        <f>HYPERLINK("https://www.youtube.com/watch?v=uqPALvUs0MU")</f>
        <v>https://www.youtube.com/watch?v=uqPALvUs0MU</v>
      </c>
      <c r="AP91" s="77" t="str">
        <f>REPLACE(INDEX(GroupVertices[Group],MATCH("~"&amp;Vertices[[#This Row],[Vertex]],GroupVertices[Vertex],0)),1,1,"")</f>
        <v>4</v>
      </c>
      <c r="AQ91" s="45">
        <v>11</v>
      </c>
      <c r="AR91" s="46">
        <v>2.433628318584071</v>
      </c>
      <c r="AS91" s="45">
        <v>2</v>
      </c>
      <c r="AT91" s="46">
        <v>0.4424778761061947</v>
      </c>
      <c r="AU91" s="45">
        <v>0</v>
      </c>
      <c r="AV91" s="46">
        <v>0</v>
      </c>
      <c r="AW91" s="45">
        <v>427</v>
      </c>
      <c r="AX91" s="46">
        <v>94.46902654867256</v>
      </c>
      <c r="AY91" s="45">
        <v>452</v>
      </c>
      <c r="AZ91" s="45"/>
      <c r="BA91" s="45"/>
      <c r="BB91" s="45"/>
      <c r="BC91" s="45"/>
      <c r="BD91" s="45"/>
      <c r="BE91" s="45"/>
      <c r="BF91" s="45"/>
      <c r="BG91" s="45"/>
      <c r="BH91" s="45"/>
      <c r="BI91" s="45"/>
      <c r="BJ91" s="2"/>
    </row>
    <row r="92" spans="1:62" ht="41.45" customHeight="1">
      <c r="A92" s="62" t="s">
        <v>1719</v>
      </c>
      <c r="C92" s="63"/>
      <c r="D92" s="63" t="s">
        <v>64</v>
      </c>
      <c r="E92" s="64">
        <v>395.0549523966787</v>
      </c>
      <c r="F92" s="66">
        <v>100</v>
      </c>
      <c r="G92" s="96" t="str">
        <f>HYPERLINK("https://i.ytimg.com/vi/3Y0F1d8d4cM/default.jpg")</f>
        <v>https://i.ytimg.com/vi/3Y0F1d8d4cM/default.jpg</v>
      </c>
      <c r="H92" s="63" t="s">
        <v>51</v>
      </c>
      <c r="I92" s="67" t="s">
        <v>1828</v>
      </c>
      <c r="J92" s="68"/>
      <c r="K92" s="68" t="s">
        <v>75</v>
      </c>
      <c r="L92" s="47" t="s">
        <v>1924</v>
      </c>
      <c r="M92" s="71">
        <v>36.938800648453075</v>
      </c>
      <c r="N92" s="72">
        <v>4914.19873046875</v>
      </c>
      <c r="O92" s="72">
        <v>1880.348388671875</v>
      </c>
      <c r="P92" s="73"/>
      <c r="Q92" s="74"/>
      <c r="R92" s="74"/>
      <c r="S92" s="82"/>
      <c r="T92" s="45">
        <v>0</v>
      </c>
      <c r="U92" s="45">
        <v>0</v>
      </c>
      <c r="V92" s="46">
        <v>0</v>
      </c>
      <c r="W92" s="46">
        <v>0</v>
      </c>
      <c r="X92" s="46">
        <v>0</v>
      </c>
      <c r="Y92" s="46">
        <v>0</v>
      </c>
      <c r="Z92" s="46">
        <v>0</v>
      </c>
      <c r="AA92" s="46">
        <v>0</v>
      </c>
      <c r="AB92" s="69">
        <v>92</v>
      </c>
      <c r="AC92" s="69"/>
      <c r="AD92" s="70"/>
      <c r="AE92" s="77" t="s">
        <v>1828</v>
      </c>
      <c r="AF92" s="77" t="s">
        <v>1924</v>
      </c>
      <c r="AG92" s="77"/>
      <c r="AH92" s="77" t="s">
        <v>2074</v>
      </c>
      <c r="AI92" s="77" t="s">
        <v>2171</v>
      </c>
      <c r="AJ92" s="77">
        <v>9319</v>
      </c>
      <c r="AK92" s="77">
        <v>31</v>
      </c>
      <c r="AL92" s="77">
        <v>690</v>
      </c>
      <c r="AM92" s="77">
        <v>0</v>
      </c>
      <c r="AN92" s="77" t="s">
        <v>2181</v>
      </c>
      <c r="AO92" s="98" t="str">
        <f>HYPERLINK("https://www.youtube.com/watch?v=3Y0F1d8d4cM")</f>
        <v>https://www.youtube.com/watch?v=3Y0F1d8d4cM</v>
      </c>
      <c r="AP92" s="77" t="str">
        <f>REPLACE(INDEX(GroupVertices[Group],MATCH("~"&amp;Vertices[[#This Row],[Vertex]],GroupVertices[Vertex],0)),1,1,"")</f>
        <v>4</v>
      </c>
      <c r="AQ92" s="45">
        <v>0</v>
      </c>
      <c r="AR92" s="46">
        <v>0</v>
      </c>
      <c r="AS92" s="45">
        <v>0</v>
      </c>
      <c r="AT92" s="46">
        <v>0</v>
      </c>
      <c r="AU92" s="45">
        <v>0</v>
      </c>
      <c r="AV92" s="46">
        <v>0</v>
      </c>
      <c r="AW92" s="45">
        <v>34</v>
      </c>
      <c r="AX92" s="46">
        <v>91.89189189189189</v>
      </c>
      <c r="AY92" s="45">
        <v>37</v>
      </c>
      <c r="AZ92" s="45"/>
      <c r="BA92" s="45"/>
      <c r="BB92" s="45"/>
      <c r="BC92" s="45"/>
      <c r="BD92" s="45"/>
      <c r="BE92" s="45"/>
      <c r="BF92" s="45"/>
      <c r="BG92" s="45"/>
      <c r="BH92" s="45"/>
      <c r="BI92" s="45"/>
      <c r="BJ92" s="2"/>
    </row>
    <row r="93" spans="1:62" ht="41.45" customHeight="1">
      <c r="A93" s="62" t="s">
        <v>1720</v>
      </c>
      <c r="C93" s="63"/>
      <c r="D93" s="63" t="s">
        <v>64</v>
      </c>
      <c r="E93" s="64">
        <v>346.0867606020327</v>
      </c>
      <c r="F93" s="66">
        <v>100</v>
      </c>
      <c r="G93" s="96" t="str">
        <f>HYPERLINK("https://i.ytimg.com/vi/26AXRIC-nqQ/default.jpg")</f>
        <v>https://i.ytimg.com/vi/26AXRIC-nqQ/default.jpg</v>
      </c>
      <c r="H93" s="63" t="s">
        <v>51</v>
      </c>
      <c r="I93" s="67" t="s">
        <v>1829</v>
      </c>
      <c r="J93" s="68"/>
      <c r="K93" s="68" t="s">
        <v>75</v>
      </c>
      <c r="L93" s="47" t="s">
        <v>1925</v>
      </c>
      <c r="M93" s="71">
        <v>23.42542948869029</v>
      </c>
      <c r="N93" s="72">
        <v>5678.9443359375</v>
      </c>
      <c r="O93" s="72">
        <v>3035.49853515625</v>
      </c>
      <c r="P93" s="73"/>
      <c r="Q93" s="74"/>
      <c r="R93" s="74"/>
      <c r="S93" s="82"/>
      <c r="T93" s="45">
        <v>0</v>
      </c>
      <c r="U93" s="45">
        <v>0</v>
      </c>
      <c r="V93" s="46">
        <v>0</v>
      </c>
      <c r="W93" s="46">
        <v>0</v>
      </c>
      <c r="X93" s="46">
        <v>0</v>
      </c>
      <c r="Y93" s="46">
        <v>0</v>
      </c>
      <c r="Z93" s="46">
        <v>0</v>
      </c>
      <c r="AA93" s="46">
        <v>0</v>
      </c>
      <c r="AB93" s="69">
        <v>93</v>
      </c>
      <c r="AC93" s="69"/>
      <c r="AD93" s="70"/>
      <c r="AE93" s="77" t="s">
        <v>1829</v>
      </c>
      <c r="AF93" s="77" t="s">
        <v>1925</v>
      </c>
      <c r="AG93" s="77" t="s">
        <v>2009</v>
      </c>
      <c r="AH93" s="77" t="s">
        <v>2075</v>
      </c>
      <c r="AI93" s="77" t="s">
        <v>2172</v>
      </c>
      <c r="AJ93" s="77">
        <v>5924</v>
      </c>
      <c r="AK93" s="77">
        <v>8</v>
      </c>
      <c r="AL93" s="77">
        <v>247</v>
      </c>
      <c r="AM93" s="77">
        <v>0</v>
      </c>
      <c r="AN93" s="77" t="s">
        <v>2181</v>
      </c>
      <c r="AO93" s="98" t="str">
        <f>HYPERLINK("https://www.youtube.com/watch?v=26AXRIC-nqQ")</f>
        <v>https://www.youtube.com/watch?v=26AXRIC-nqQ</v>
      </c>
      <c r="AP93" s="77" t="str">
        <f>REPLACE(INDEX(GroupVertices[Group],MATCH("~"&amp;Vertices[[#This Row],[Vertex]],GroupVertices[Vertex],0)),1,1,"")</f>
        <v>4</v>
      </c>
      <c r="AQ93" s="45">
        <v>10</v>
      </c>
      <c r="AR93" s="46">
        <v>4.237288135593221</v>
      </c>
      <c r="AS93" s="45">
        <v>0</v>
      </c>
      <c r="AT93" s="46">
        <v>0</v>
      </c>
      <c r="AU93" s="45">
        <v>0</v>
      </c>
      <c r="AV93" s="46">
        <v>0</v>
      </c>
      <c r="AW93" s="45">
        <v>215</v>
      </c>
      <c r="AX93" s="46">
        <v>91.10169491525424</v>
      </c>
      <c r="AY93" s="45">
        <v>236</v>
      </c>
      <c r="AZ93" s="45"/>
      <c r="BA93" s="45"/>
      <c r="BB93" s="45"/>
      <c r="BC93" s="45"/>
      <c r="BD93" s="45"/>
      <c r="BE93" s="45"/>
      <c r="BF93" s="45"/>
      <c r="BG93" s="45"/>
      <c r="BH93" s="45"/>
      <c r="BI93" s="45"/>
      <c r="BJ93" s="2"/>
    </row>
    <row r="94" spans="1:62" ht="41.45" customHeight="1">
      <c r="A94" s="62" t="s">
        <v>1721</v>
      </c>
      <c r="C94" s="63"/>
      <c r="D94" s="63" t="s">
        <v>64</v>
      </c>
      <c r="E94" s="64">
        <v>321.116031193081</v>
      </c>
      <c r="F94" s="66">
        <v>100</v>
      </c>
      <c r="G94" s="96" t="str">
        <f>HYPERLINK("https://i.ytimg.com/vi/tDQD5zv3cS4/default.jpg")</f>
        <v>https://i.ytimg.com/vi/tDQD5zv3cS4/default.jpg</v>
      </c>
      <c r="H94" s="63" t="s">
        <v>51</v>
      </c>
      <c r="I94" s="67" t="s">
        <v>1830</v>
      </c>
      <c r="J94" s="68"/>
      <c r="K94" s="68" t="s">
        <v>75</v>
      </c>
      <c r="L94" s="47" t="s">
        <v>1926</v>
      </c>
      <c r="M94" s="71">
        <v>18.561411946059916</v>
      </c>
      <c r="N94" s="72">
        <v>7208.43603515625</v>
      </c>
      <c r="O94" s="72">
        <v>4190.6484375</v>
      </c>
      <c r="P94" s="73"/>
      <c r="Q94" s="74"/>
      <c r="R94" s="74"/>
      <c r="S94" s="82"/>
      <c r="T94" s="45">
        <v>0</v>
      </c>
      <c r="U94" s="45">
        <v>0</v>
      </c>
      <c r="V94" s="46">
        <v>0</v>
      </c>
      <c r="W94" s="46">
        <v>0</v>
      </c>
      <c r="X94" s="46">
        <v>0</v>
      </c>
      <c r="Y94" s="46">
        <v>0</v>
      </c>
      <c r="Z94" s="46">
        <v>0</v>
      </c>
      <c r="AA94" s="46">
        <v>0</v>
      </c>
      <c r="AB94" s="69">
        <v>94</v>
      </c>
      <c r="AC94" s="69"/>
      <c r="AD94" s="70"/>
      <c r="AE94" s="77" t="s">
        <v>1830</v>
      </c>
      <c r="AF94" s="77" t="s">
        <v>1926</v>
      </c>
      <c r="AG94" s="77" t="s">
        <v>2010</v>
      </c>
      <c r="AH94" s="77" t="s">
        <v>2076</v>
      </c>
      <c r="AI94" s="77" t="s">
        <v>2173</v>
      </c>
      <c r="AJ94" s="77">
        <v>4702</v>
      </c>
      <c r="AK94" s="77">
        <v>4</v>
      </c>
      <c r="AL94" s="77">
        <v>468</v>
      </c>
      <c r="AM94" s="77">
        <v>0</v>
      </c>
      <c r="AN94" s="77" t="s">
        <v>2181</v>
      </c>
      <c r="AO94" s="98" t="str">
        <f>HYPERLINK("https://www.youtube.com/watch?v=tDQD5zv3cS4")</f>
        <v>https://www.youtube.com/watch?v=tDQD5zv3cS4</v>
      </c>
      <c r="AP94" s="77" t="str">
        <f>REPLACE(INDEX(GroupVertices[Group],MATCH("~"&amp;Vertices[[#This Row],[Vertex]],GroupVertices[Vertex],0)),1,1,"")</f>
        <v>4</v>
      </c>
      <c r="AQ94" s="45">
        <v>0</v>
      </c>
      <c r="AR94" s="46">
        <v>0</v>
      </c>
      <c r="AS94" s="45">
        <v>0</v>
      </c>
      <c r="AT94" s="46">
        <v>0</v>
      </c>
      <c r="AU94" s="45">
        <v>0</v>
      </c>
      <c r="AV94" s="46">
        <v>0</v>
      </c>
      <c r="AW94" s="45">
        <v>49</v>
      </c>
      <c r="AX94" s="46">
        <v>90.74074074074075</v>
      </c>
      <c r="AY94" s="45">
        <v>54</v>
      </c>
      <c r="AZ94" s="45"/>
      <c r="BA94" s="45"/>
      <c r="BB94" s="45"/>
      <c r="BC94" s="45"/>
      <c r="BD94" s="45"/>
      <c r="BE94" s="45"/>
      <c r="BF94" s="45"/>
      <c r="BG94" s="45"/>
      <c r="BH94" s="45"/>
      <c r="BI94" s="45"/>
      <c r="BJ94" s="2"/>
    </row>
    <row r="95" spans="1:62" ht="41.45" customHeight="1">
      <c r="A95" s="62" t="s">
        <v>1722</v>
      </c>
      <c r="C95" s="63"/>
      <c r="D95" s="63" t="s">
        <v>64</v>
      </c>
      <c r="E95" s="64">
        <v>426.06847892387077</v>
      </c>
      <c r="F95" s="66">
        <v>100</v>
      </c>
      <c r="G95" s="96" t="str">
        <f>HYPERLINK("https://i.ytimg.com/vi/BjJ0udR7YrY/default.jpg")</f>
        <v>https://i.ytimg.com/vi/BjJ0udR7YrY/default.jpg</v>
      </c>
      <c r="H95" s="63" t="s">
        <v>51</v>
      </c>
      <c r="I95" s="67" t="s">
        <v>1831</v>
      </c>
      <c r="J95" s="68"/>
      <c r="K95" s="68" t="s">
        <v>75</v>
      </c>
      <c r="L95" s="47" t="s">
        <v>1927</v>
      </c>
      <c r="M95" s="71">
        <v>49.266020230716805</v>
      </c>
      <c r="N95" s="72">
        <v>5678.9443359375</v>
      </c>
      <c r="O95" s="72">
        <v>1880.348388671875</v>
      </c>
      <c r="P95" s="73"/>
      <c r="Q95" s="74"/>
      <c r="R95" s="74"/>
      <c r="S95" s="82"/>
      <c r="T95" s="45">
        <v>0</v>
      </c>
      <c r="U95" s="45">
        <v>0</v>
      </c>
      <c r="V95" s="46">
        <v>0</v>
      </c>
      <c r="W95" s="46">
        <v>0</v>
      </c>
      <c r="X95" s="46">
        <v>0</v>
      </c>
      <c r="Y95" s="46">
        <v>0</v>
      </c>
      <c r="Z95" s="46">
        <v>0</v>
      </c>
      <c r="AA95" s="46">
        <v>0</v>
      </c>
      <c r="AB95" s="69">
        <v>95</v>
      </c>
      <c r="AC95" s="69"/>
      <c r="AD95" s="70"/>
      <c r="AE95" s="77" t="s">
        <v>1831</v>
      </c>
      <c r="AF95" s="77" t="s">
        <v>1927</v>
      </c>
      <c r="AG95" s="77" t="s">
        <v>2011</v>
      </c>
      <c r="AH95" s="77" t="s">
        <v>2077</v>
      </c>
      <c r="AI95" s="77" t="s">
        <v>2174</v>
      </c>
      <c r="AJ95" s="77">
        <v>12416</v>
      </c>
      <c r="AK95" s="77">
        <v>17</v>
      </c>
      <c r="AL95" s="77">
        <v>840</v>
      </c>
      <c r="AM95" s="77">
        <v>0</v>
      </c>
      <c r="AN95" s="77" t="s">
        <v>2181</v>
      </c>
      <c r="AO95" s="98" t="str">
        <f>HYPERLINK("https://www.youtube.com/watch?v=BjJ0udR7YrY")</f>
        <v>https://www.youtube.com/watch?v=BjJ0udR7YrY</v>
      </c>
      <c r="AP95" s="77" t="str">
        <f>REPLACE(INDEX(GroupVertices[Group],MATCH("~"&amp;Vertices[[#This Row],[Vertex]],GroupVertices[Vertex],0)),1,1,"")</f>
        <v>4</v>
      </c>
      <c r="AQ95" s="45">
        <v>0</v>
      </c>
      <c r="AR95" s="46">
        <v>0</v>
      </c>
      <c r="AS95" s="45">
        <v>1</v>
      </c>
      <c r="AT95" s="46">
        <v>0.9259259259259259</v>
      </c>
      <c r="AU95" s="45">
        <v>0</v>
      </c>
      <c r="AV95" s="46">
        <v>0</v>
      </c>
      <c r="AW95" s="45">
        <v>100</v>
      </c>
      <c r="AX95" s="46">
        <v>92.5925925925926</v>
      </c>
      <c r="AY95" s="45">
        <v>108</v>
      </c>
      <c r="AZ95" s="45"/>
      <c r="BA95" s="45"/>
      <c r="BB95" s="45"/>
      <c r="BC95" s="45"/>
      <c r="BD95" s="45"/>
      <c r="BE95" s="45"/>
      <c r="BF95" s="45"/>
      <c r="BG95" s="45"/>
      <c r="BH95" s="45"/>
      <c r="BI95" s="45"/>
      <c r="BJ95" s="2"/>
    </row>
    <row r="96" spans="1:62" ht="41.45" customHeight="1">
      <c r="A96" s="62" t="s">
        <v>1723</v>
      </c>
      <c r="C96" s="63"/>
      <c r="D96" s="63" t="s">
        <v>64</v>
      </c>
      <c r="E96" s="64">
        <v>366.2818714754532</v>
      </c>
      <c r="F96" s="66">
        <v>100</v>
      </c>
      <c r="G96" s="96" t="str">
        <f>HYPERLINK("https://i.ytimg.com/vi/D6bTuC-uekg/default.jpg")</f>
        <v>https://i.ytimg.com/vi/D6bTuC-uekg/default.jpg</v>
      </c>
      <c r="H96" s="63" t="s">
        <v>51</v>
      </c>
      <c r="I96" s="67" t="s">
        <v>1832</v>
      </c>
      <c r="J96" s="68"/>
      <c r="K96" s="68" t="s">
        <v>75</v>
      </c>
      <c r="L96" s="47" t="s">
        <v>1928</v>
      </c>
      <c r="M96" s="71">
        <v>28.269545159214978</v>
      </c>
      <c r="N96" s="72">
        <v>6443.68994140625</v>
      </c>
      <c r="O96" s="72">
        <v>3035.49853515625</v>
      </c>
      <c r="P96" s="73"/>
      <c r="Q96" s="74"/>
      <c r="R96" s="74"/>
      <c r="S96" s="82"/>
      <c r="T96" s="45">
        <v>0</v>
      </c>
      <c r="U96" s="45">
        <v>0</v>
      </c>
      <c r="V96" s="46">
        <v>0</v>
      </c>
      <c r="W96" s="46">
        <v>0</v>
      </c>
      <c r="X96" s="46">
        <v>0</v>
      </c>
      <c r="Y96" s="46">
        <v>0</v>
      </c>
      <c r="Z96" s="46">
        <v>0</v>
      </c>
      <c r="AA96" s="46">
        <v>0</v>
      </c>
      <c r="AB96" s="69">
        <v>96</v>
      </c>
      <c r="AC96" s="69"/>
      <c r="AD96" s="70"/>
      <c r="AE96" s="77" t="s">
        <v>1832</v>
      </c>
      <c r="AF96" s="77" t="s">
        <v>1928</v>
      </c>
      <c r="AG96" s="77" t="s">
        <v>2012</v>
      </c>
      <c r="AH96" s="77" t="s">
        <v>2078</v>
      </c>
      <c r="AI96" s="77" t="s">
        <v>2175</v>
      </c>
      <c r="AJ96" s="77">
        <v>7141</v>
      </c>
      <c r="AK96" s="77">
        <v>0</v>
      </c>
      <c r="AL96" s="77">
        <v>515</v>
      </c>
      <c r="AM96" s="77">
        <v>0</v>
      </c>
      <c r="AN96" s="77" t="s">
        <v>2181</v>
      </c>
      <c r="AO96" s="98" t="str">
        <f>HYPERLINK("https://www.youtube.com/watch?v=D6bTuC-uekg")</f>
        <v>https://www.youtube.com/watch?v=D6bTuC-uekg</v>
      </c>
      <c r="AP96" s="77" t="str">
        <f>REPLACE(INDEX(GroupVertices[Group],MATCH("~"&amp;Vertices[[#This Row],[Vertex]],GroupVertices[Vertex],0)),1,1,"")</f>
        <v>4</v>
      </c>
      <c r="AQ96" s="45">
        <v>0</v>
      </c>
      <c r="AR96" s="46">
        <v>0</v>
      </c>
      <c r="AS96" s="45">
        <v>0</v>
      </c>
      <c r="AT96" s="46">
        <v>0</v>
      </c>
      <c r="AU96" s="45">
        <v>0</v>
      </c>
      <c r="AV96" s="46">
        <v>0</v>
      </c>
      <c r="AW96" s="45">
        <v>80</v>
      </c>
      <c r="AX96" s="46">
        <v>90.9090909090909</v>
      </c>
      <c r="AY96" s="45">
        <v>88</v>
      </c>
      <c r="AZ96" s="45"/>
      <c r="BA96" s="45"/>
      <c r="BB96" s="45"/>
      <c r="BC96" s="45"/>
      <c r="BD96" s="45"/>
      <c r="BE96" s="45"/>
      <c r="BF96" s="45"/>
      <c r="BG96" s="45"/>
      <c r="BH96" s="45"/>
      <c r="BI96" s="45"/>
      <c r="BJ96" s="2"/>
    </row>
    <row r="97" spans="1:62" ht="41.45" customHeight="1">
      <c r="A97" s="62" t="s">
        <v>1724</v>
      </c>
      <c r="C97" s="63"/>
      <c r="D97" s="63" t="s">
        <v>64</v>
      </c>
      <c r="E97" s="64">
        <v>315.01633827553405</v>
      </c>
      <c r="F97" s="66">
        <v>100</v>
      </c>
      <c r="G97" s="96" t="str">
        <f>HYPERLINK("https://i.ytimg.com/vi/03V-IgTVwXg/default.jpg")</f>
        <v>https://i.ytimg.com/vi/03V-IgTVwXg/default.jpg</v>
      </c>
      <c r="H97" s="63" t="s">
        <v>51</v>
      </c>
      <c r="I97" s="67" t="s">
        <v>1833</v>
      </c>
      <c r="J97" s="68"/>
      <c r="K97" s="68" t="s">
        <v>75</v>
      </c>
      <c r="L97" s="47" t="s">
        <v>1929</v>
      </c>
      <c r="M97" s="71">
        <v>17.534475345406367</v>
      </c>
      <c r="N97" s="72">
        <v>6443.68994140625</v>
      </c>
      <c r="O97" s="72">
        <v>4190.6484375</v>
      </c>
      <c r="P97" s="73"/>
      <c r="Q97" s="74"/>
      <c r="R97" s="74"/>
      <c r="S97" s="82"/>
      <c r="T97" s="45">
        <v>0</v>
      </c>
      <c r="U97" s="45">
        <v>0</v>
      </c>
      <c r="V97" s="46">
        <v>0</v>
      </c>
      <c r="W97" s="46">
        <v>0</v>
      </c>
      <c r="X97" s="46">
        <v>0</v>
      </c>
      <c r="Y97" s="46">
        <v>0</v>
      </c>
      <c r="Z97" s="46">
        <v>0</v>
      </c>
      <c r="AA97" s="46">
        <v>0</v>
      </c>
      <c r="AB97" s="69">
        <v>97</v>
      </c>
      <c r="AC97" s="69"/>
      <c r="AD97" s="70"/>
      <c r="AE97" s="77" t="s">
        <v>1833</v>
      </c>
      <c r="AF97" s="77" t="s">
        <v>1929</v>
      </c>
      <c r="AG97" s="77" t="s">
        <v>2013</v>
      </c>
      <c r="AH97" s="77" t="s">
        <v>2079</v>
      </c>
      <c r="AI97" s="77" t="s">
        <v>2176</v>
      </c>
      <c r="AJ97" s="77">
        <v>4444</v>
      </c>
      <c r="AK97" s="77">
        <v>0</v>
      </c>
      <c r="AL97" s="77">
        <v>46</v>
      </c>
      <c r="AM97" s="77">
        <v>0</v>
      </c>
      <c r="AN97" s="77" t="s">
        <v>2181</v>
      </c>
      <c r="AO97" s="98" t="str">
        <f>HYPERLINK("https://www.youtube.com/watch?v=03V-IgTVwXg")</f>
        <v>https://www.youtube.com/watch?v=03V-IgTVwXg</v>
      </c>
      <c r="AP97" s="77" t="str">
        <f>REPLACE(INDEX(GroupVertices[Group],MATCH("~"&amp;Vertices[[#This Row],[Vertex]],GroupVertices[Vertex],0)),1,1,"")</f>
        <v>4</v>
      </c>
      <c r="AQ97" s="45">
        <v>8</v>
      </c>
      <c r="AR97" s="46">
        <v>4.1450777202072535</v>
      </c>
      <c r="AS97" s="45">
        <v>2</v>
      </c>
      <c r="AT97" s="46">
        <v>1.0362694300518134</v>
      </c>
      <c r="AU97" s="45">
        <v>0</v>
      </c>
      <c r="AV97" s="46">
        <v>0</v>
      </c>
      <c r="AW97" s="45">
        <v>134</v>
      </c>
      <c r="AX97" s="46">
        <v>69.43005181347151</v>
      </c>
      <c r="AY97" s="45">
        <v>193</v>
      </c>
      <c r="AZ97" s="45"/>
      <c r="BA97" s="45"/>
      <c r="BB97" s="45"/>
      <c r="BC97" s="45"/>
      <c r="BD97" s="45"/>
      <c r="BE97" s="45"/>
      <c r="BF97" s="45"/>
      <c r="BG97" s="45"/>
      <c r="BH97" s="45"/>
      <c r="BI97" s="45"/>
      <c r="BJ97" s="2"/>
    </row>
    <row r="98" spans="1:62" ht="41.45" customHeight="1">
      <c r="A98" s="62" t="s">
        <v>1725</v>
      </c>
      <c r="C98" s="63"/>
      <c r="D98" s="63" t="s">
        <v>64</v>
      </c>
      <c r="E98" s="64">
        <v>536.1635292298564</v>
      </c>
      <c r="F98" s="66">
        <v>100</v>
      </c>
      <c r="G98" s="96" t="str">
        <f>HYPERLINK("https://i.ytimg.com/vi/OAh3y3j6qQE/default.jpg")</f>
        <v>https://i.ytimg.com/vi/OAh3y3j6qQE/default.jpg</v>
      </c>
      <c r="H98" s="63" t="s">
        <v>51</v>
      </c>
      <c r="I98" s="67" t="s">
        <v>1834</v>
      </c>
      <c r="J98" s="68"/>
      <c r="K98" s="68" t="s">
        <v>75</v>
      </c>
      <c r="L98" s="47" t="s">
        <v>1930</v>
      </c>
      <c r="M98" s="71">
        <v>136.70290513985057</v>
      </c>
      <c r="N98" s="72">
        <v>5678.9443359375</v>
      </c>
      <c r="O98" s="72">
        <v>725.1981201171875</v>
      </c>
      <c r="P98" s="73"/>
      <c r="Q98" s="74"/>
      <c r="R98" s="74"/>
      <c r="S98" s="82"/>
      <c r="T98" s="45">
        <v>0</v>
      </c>
      <c r="U98" s="45">
        <v>0</v>
      </c>
      <c r="V98" s="46">
        <v>0</v>
      </c>
      <c r="W98" s="46">
        <v>0</v>
      </c>
      <c r="X98" s="46">
        <v>0</v>
      </c>
      <c r="Y98" s="46">
        <v>0</v>
      </c>
      <c r="Z98" s="46">
        <v>0</v>
      </c>
      <c r="AA98" s="46">
        <v>0</v>
      </c>
      <c r="AB98" s="69">
        <v>98</v>
      </c>
      <c r="AC98" s="69"/>
      <c r="AD98" s="70"/>
      <c r="AE98" s="77" t="s">
        <v>1834</v>
      </c>
      <c r="AF98" s="77" t="s">
        <v>1930</v>
      </c>
      <c r="AG98" s="77" t="s">
        <v>2014</v>
      </c>
      <c r="AH98" s="77" t="s">
        <v>2080</v>
      </c>
      <c r="AI98" s="77" t="s">
        <v>2177</v>
      </c>
      <c r="AJ98" s="77">
        <v>34383</v>
      </c>
      <c r="AK98" s="77">
        <v>13</v>
      </c>
      <c r="AL98" s="77">
        <v>3299</v>
      </c>
      <c r="AM98" s="77">
        <v>0</v>
      </c>
      <c r="AN98" s="77" t="s">
        <v>2181</v>
      </c>
      <c r="AO98" s="98" t="str">
        <f>HYPERLINK("https://www.youtube.com/watch?v=OAh3y3j6qQE")</f>
        <v>https://www.youtube.com/watch?v=OAh3y3j6qQE</v>
      </c>
      <c r="AP98" s="77" t="str">
        <f>REPLACE(INDEX(GroupVertices[Group],MATCH("~"&amp;Vertices[[#This Row],[Vertex]],GroupVertices[Vertex],0)),1,1,"")</f>
        <v>4</v>
      </c>
      <c r="AQ98" s="45">
        <v>1</v>
      </c>
      <c r="AR98" s="46">
        <v>2.0833333333333335</v>
      </c>
      <c r="AS98" s="45">
        <v>0</v>
      </c>
      <c r="AT98" s="46">
        <v>0</v>
      </c>
      <c r="AU98" s="45">
        <v>0</v>
      </c>
      <c r="AV98" s="46">
        <v>0</v>
      </c>
      <c r="AW98" s="45">
        <v>27</v>
      </c>
      <c r="AX98" s="46">
        <v>56.25</v>
      </c>
      <c r="AY98" s="45">
        <v>48</v>
      </c>
      <c r="AZ98" s="45"/>
      <c r="BA98" s="45"/>
      <c r="BB98" s="45"/>
      <c r="BC98" s="45"/>
      <c r="BD98" s="45"/>
      <c r="BE98" s="45"/>
      <c r="BF98" s="45"/>
      <c r="BG98" s="45"/>
      <c r="BH98" s="45"/>
      <c r="BI98" s="45"/>
      <c r="BJ98" s="2"/>
    </row>
    <row r="99" spans="1:62" ht="41.45" customHeight="1">
      <c r="A99" s="62" t="s">
        <v>1726</v>
      </c>
      <c r="C99" s="63"/>
      <c r="D99" s="63" t="s">
        <v>64</v>
      </c>
      <c r="E99" s="64">
        <v>20</v>
      </c>
      <c r="F99" s="66">
        <v>100</v>
      </c>
      <c r="G99" s="96" t="str">
        <f>HYPERLINK("https://i.ytimg.com/vi/97gY63pYuGI/default.jpg")</f>
        <v>https://i.ytimg.com/vi/97gY63pYuGI/default.jpg</v>
      </c>
      <c r="H99" s="63" t="s">
        <v>51</v>
      </c>
      <c r="I99" s="67" t="s">
        <v>1835</v>
      </c>
      <c r="J99" s="68"/>
      <c r="K99" s="68" t="s">
        <v>75</v>
      </c>
      <c r="L99" s="47" t="s">
        <v>1931</v>
      </c>
      <c r="M99" s="71">
        <v>1</v>
      </c>
      <c r="N99" s="72">
        <v>4914.19873046875</v>
      </c>
      <c r="O99" s="72">
        <v>4190.6484375</v>
      </c>
      <c r="P99" s="73"/>
      <c r="Q99" s="74"/>
      <c r="R99" s="74"/>
      <c r="S99" s="82"/>
      <c r="T99" s="45">
        <v>0</v>
      </c>
      <c r="U99" s="45">
        <v>0</v>
      </c>
      <c r="V99" s="46">
        <v>0</v>
      </c>
      <c r="W99" s="46">
        <v>0</v>
      </c>
      <c r="X99" s="46">
        <v>0</v>
      </c>
      <c r="Y99" s="46">
        <v>0</v>
      </c>
      <c r="Z99" s="46">
        <v>0</v>
      </c>
      <c r="AA99" s="46">
        <v>0</v>
      </c>
      <c r="AB99" s="69">
        <v>99</v>
      </c>
      <c r="AC99" s="69"/>
      <c r="AD99" s="70"/>
      <c r="AE99" s="77" t="s">
        <v>1835</v>
      </c>
      <c r="AF99" s="77" t="s">
        <v>1931</v>
      </c>
      <c r="AG99" s="77" t="s">
        <v>2015</v>
      </c>
      <c r="AH99" s="77" t="s">
        <v>2039</v>
      </c>
      <c r="AI99" s="77" t="s">
        <v>2178</v>
      </c>
      <c r="AJ99" s="77">
        <v>290</v>
      </c>
      <c r="AK99" s="77">
        <v>2</v>
      </c>
      <c r="AL99" s="77">
        <v>72</v>
      </c>
      <c r="AM99" s="77">
        <v>0</v>
      </c>
      <c r="AN99" s="77" t="s">
        <v>2181</v>
      </c>
      <c r="AO99" s="98" t="str">
        <f>HYPERLINK("https://www.youtube.com/watch?v=97gY63pYuGI")</f>
        <v>https://www.youtube.com/watch?v=97gY63pYuGI</v>
      </c>
      <c r="AP99" s="77" t="str">
        <f>REPLACE(INDEX(GroupVertices[Group],MATCH("~"&amp;Vertices[[#This Row],[Vertex]],GroupVertices[Vertex],0)),1,1,"")</f>
        <v>4</v>
      </c>
      <c r="AQ99" s="45">
        <v>1</v>
      </c>
      <c r="AR99" s="46">
        <v>1.9230769230769231</v>
      </c>
      <c r="AS99" s="45">
        <v>1</v>
      </c>
      <c r="AT99" s="46">
        <v>1.9230769230769231</v>
      </c>
      <c r="AU99" s="45">
        <v>0</v>
      </c>
      <c r="AV99" s="46">
        <v>0</v>
      </c>
      <c r="AW99" s="45">
        <v>33</v>
      </c>
      <c r="AX99" s="46">
        <v>63.46153846153846</v>
      </c>
      <c r="AY99" s="45">
        <v>52</v>
      </c>
      <c r="AZ99" s="45"/>
      <c r="BA99" s="45"/>
      <c r="BB99" s="45"/>
      <c r="BC99" s="45"/>
      <c r="BD99" s="45"/>
      <c r="BE99" s="45"/>
      <c r="BF99" s="45"/>
      <c r="BG99" s="45"/>
      <c r="BH99" s="45"/>
      <c r="BI99" s="45"/>
      <c r="BJ99" s="2"/>
    </row>
    <row r="100" spans="1:62" ht="41.45" customHeight="1">
      <c r="A100" s="83" t="s">
        <v>1727</v>
      </c>
      <c r="C100" s="84"/>
      <c r="D100" s="84" t="s">
        <v>64</v>
      </c>
      <c r="E100" s="85">
        <v>345.3728278769968</v>
      </c>
      <c r="F100" s="86">
        <v>100</v>
      </c>
      <c r="G100" s="97" t="str">
        <f>HYPERLINK("https://i.ytimg.com/vi/H51AqAeP39Q/default.jpg")</f>
        <v>https://i.ytimg.com/vi/H51AqAeP39Q/default.jpg</v>
      </c>
      <c r="H100" s="84" t="s">
        <v>51</v>
      </c>
      <c r="I100" s="87" t="s">
        <v>1836</v>
      </c>
      <c r="J100" s="88"/>
      <c r="K100" s="88" t="s">
        <v>75</v>
      </c>
      <c r="L100" s="112" t="s">
        <v>1932</v>
      </c>
      <c r="M100" s="89">
        <v>23.270194886265916</v>
      </c>
      <c r="N100" s="90">
        <v>4914.19873046875</v>
      </c>
      <c r="O100" s="90">
        <v>3035.49853515625</v>
      </c>
      <c r="P100" s="91"/>
      <c r="Q100" s="92"/>
      <c r="R100" s="92"/>
      <c r="S100" s="93"/>
      <c r="T100" s="45">
        <v>0</v>
      </c>
      <c r="U100" s="45">
        <v>0</v>
      </c>
      <c r="V100" s="46">
        <v>0</v>
      </c>
      <c r="W100" s="46">
        <v>0</v>
      </c>
      <c r="X100" s="46">
        <v>0</v>
      </c>
      <c r="Y100" s="46">
        <v>0</v>
      </c>
      <c r="Z100" s="46">
        <v>0</v>
      </c>
      <c r="AA100" s="46">
        <v>0</v>
      </c>
      <c r="AB100" s="94">
        <v>100</v>
      </c>
      <c r="AC100" s="94"/>
      <c r="AD100" s="95"/>
      <c r="AE100" s="77" t="s">
        <v>1836</v>
      </c>
      <c r="AF100" s="77" t="s">
        <v>1932</v>
      </c>
      <c r="AG100" s="77" t="s">
        <v>2016</v>
      </c>
      <c r="AH100" s="77" t="s">
        <v>2081</v>
      </c>
      <c r="AI100" s="77" t="s">
        <v>2179</v>
      </c>
      <c r="AJ100" s="77">
        <v>5885</v>
      </c>
      <c r="AK100" s="77">
        <v>36</v>
      </c>
      <c r="AL100" s="77">
        <v>207</v>
      </c>
      <c r="AM100" s="77">
        <v>0</v>
      </c>
      <c r="AN100" s="77" t="s">
        <v>2181</v>
      </c>
      <c r="AO100" s="98" t="str">
        <f>HYPERLINK("https://www.youtube.com/watch?v=H51AqAeP39Q")</f>
        <v>https://www.youtube.com/watch?v=H51AqAeP39Q</v>
      </c>
      <c r="AP100" s="77" t="str">
        <f>REPLACE(INDEX(GroupVertices[Group],MATCH("~"&amp;Vertices[[#This Row],[Vertex]],GroupVertices[Vertex],0)),1,1,"")</f>
        <v>4</v>
      </c>
      <c r="AQ100" s="45">
        <v>0</v>
      </c>
      <c r="AR100" s="46">
        <v>0</v>
      </c>
      <c r="AS100" s="45">
        <v>0</v>
      </c>
      <c r="AT100" s="46">
        <v>0</v>
      </c>
      <c r="AU100" s="45">
        <v>0</v>
      </c>
      <c r="AV100" s="46">
        <v>0</v>
      </c>
      <c r="AW100" s="45">
        <v>45</v>
      </c>
      <c r="AX100" s="46">
        <v>73.77049180327869</v>
      </c>
      <c r="AY100" s="45">
        <v>61</v>
      </c>
      <c r="AZ100" s="45"/>
      <c r="BA100" s="45"/>
      <c r="BB100" s="45"/>
      <c r="BC100" s="45"/>
      <c r="BD100" s="45"/>
      <c r="BE100" s="45"/>
      <c r="BF100" s="45"/>
      <c r="BG100" s="45"/>
      <c r="BH100" s="45"/>
      <c r="BI100" s="45"/>
      <c r="BJ10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0"/>
    <dataValidation allowBlank="1" errorTitle="Invalid Vertex Visibility" error="You have entered an unrecognized vertex visibility.  Try selecting from the drop-down list instead." sqref="BJ3"/>
    <dataValidation allowBlank="1" showErrorMessage="1" sqref="B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0"/>
    <dataValidation allowBlank="1" showInputMessage="1" promptTitle="Vertex Tooltip" prompt="Enter optional text that will pop up when the mouse is hovered over the vertex." errorTitle="Invalid Vertex Image Key" sqref="L3:L1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0"/>
    <dataValidation allowBlank="1" showInputMessage="1" promptTitle="Vertex Label Fill Color" prompt="To select an optional fill color for the Label shape, right-click and select Select Color on the right-click menu." sqref="J3:J100"/>
    <dataValidation allowBlank="1" showInputMessage="1" promptTitle="Vertex Image File" prompt="Enter the path to an image file.  Hover over the column header for examples." errorTitle="Invalid Vertex Image Key" sqref="G3:G100"/>
    <dataValidation allowBlank="1" showInputMessage="1" promptTitle="Vertex Color" prompt="To select an optional vertex color, right-click and select Select Color on the right-click menu." sqref="C3:C100"/>
    <dataValidation allowBlank="1" showInputMessage="1" promptTitle="Vertex Opacity" prompt="Enter an optional vertex opacity between 0 (transparent) and 100 (opaque)." errorTitle="Invalid Vertex Opacity" error="The optional vertex opacity must be a whole number between 0 and 10." sqref="F3:F100"/>
    <dataValidation type="list" allowBlank="1" showInputMessage="1" showErrorMessage="1" promptTitle="Vertex Shape" prompt="Select an optional vertex shape." errorTitle="Invalid Vertex Shape" error="You have entered an invalid vertex shape.  Try selecting from the drop-down list instead." sqref="D3:D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6" width="18.8515625" style="0" bestFit="1" customWidth="1"/>
    <col min="37" max="37" width="15.421875" style="0" bestFit="1" customWidth="1"/>
    <col min="38" max="38" width="17.140625" style="0" bestFit="1" customWidth="1"/>
  </cols>
  <sheetData>
    <row r="1" spans="2:24" ht="15">
      <c r="B1" s="52" t="s">
        <v>39</v>
      </c>
      <c r="C1" s="53"/>
      <c r="D1" s="53"/>
      <c r="E1" s="54"/>
      <c r="F1" s="50" t="s">
        <v>43</v>
      </c>
      <c r="G1" s="55" t="s">
        <v>44</v>
      </c>
      <c r="H1" s="56"/>
      <c r="I1" s="57" t="s">
        <v>40</v>
      </c>
      <c r="J1" s="58"/>
      <c r="K1" s="59" t="s">
        <v>42</v>
      </c>
      <c r="L1" s="60"/>
      <c r="M1" s="60"/>
      <c r="N1" s="60"/>
      <c r="O1" s="60"/>
      <c r="P1" s="60"/>
      <c r="Q1" s="60"/>
      <c r="R1" s="60"/>
      <c r="S1" s="60"/>
      <c r="T1" s="60"/>
      <c r="U1" s="60"/>
      <c r="V1" s="60"/>
      <c r="W1" s="60"/>
      <c r="X1" s="60"/>
    </row>
    <row r="2" spans="1:38"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1" t="s">
        <v>3383</v>
      </c>
      <c r="Z2" s="51" t="s">
        <v>3384</v>
      </c>
      <c r="AA2" s="51" t="s">
        <v>3385</v>
      </c>
      <c r="AB2" s="51" t="s">
        <v>3386</v>
      </c>
      <c r="AC2" s="51" t="s">
        <v>3387</v>
      </c>
      <c r="AD2" s="51" t="s">
        <v>3388</v>
      </c>
      <c r="AE2" s="51" t="s">
        <v>3389</v>
      </c>
      <c r="AF2" s="51" t="s">
        <v>3390</v>
      </c>
      <c r="AG2" s="51" t="s">
        <v>3393</v>
      </c>
      <c r="AH2" s="7" t="s">
        <v>3461</v>
      </c>
      <c r="AI2" s="7" t="s">
        <v>3474</v>
      </c>
      <c r="AJ2" s="7" t="s">
        <v>3485</v>
      </c>
      <c r="AK2" s="7" t="s">
        <v>3495</v>
      </c>
      <c r="AL2" s="7" t="s">
        <v>3566</v>
      </c>
    </row>
    <row r="3" spans="1:38" ht="15">
      <c r="A3" s="62" t="s">
        <v>2184</v>
      </c>
      <c r="B3" s="63" t="s">
        <v>2192</v>
      </c>
      <c r="C3" s="63" t="s">
        <v>56</v>
      </c>
      <c r="D3" s="100"/>
      <c r="E3" s="11"/>
      <c r="F3" s="12" t="s">
        <v>3614</v>
      </c>
      <c r="G3" s="61"/>
      <c r="H3" s="61"/>
      <c r="I3" s="101">
        <v>3</v>
      </c>
      <c r="J3" s="48"/>
      <c r="K3" s="45">
        <v>25</v>
      </c>
      <c r="L3" s="45">
        <v>64</v>
      </c>
      <c r="M3" s="45">
        <v>228</v>
      </c>
      <c r="N3" s="45">
        <v>292</v>
      </c>
      <c r="O3" s="45">
        <v>0</v>
      </c>
      <c r="P3" s="46">
        <v>0</v>
      </c>
      <c r="Q3" s="46">
        <v>0</v>
      </c>
      <c r="R3" s="45">
        <v>1</v>
      </c>
      <c r="S3" s="45">
        <v>0</v>
      </c>
      <c r="T3" s="45">
        <v>25</v>
      </c>
      <c r="U3" s="45">
        <v>292</v>
      </c>
      <c r="V3" s="45">
        <v>4</v>
      </c>
      <c r="W3" s="46">
        <v>1.7056</v>
      </c>
      <c r="X3" s="46">
        <v>0.19</v>
      </c>
      <c r="Y3" s="45">
        <v>62</v>
      </c>
      <c r="Z3" s="46">
        <v>2.246376811594203</v>
      </c>
      <c r="AA3" s="45">
        <v>26</v>
      </c>
      <c r="AB3" s="46">
        <v>0.9420289855072463</v>
      </c>
      <c r="AC3" s="45">
        <v>0</v>
      </c>
      <c r="AD3" s="46">
        <v>0</v>
      </c>
      <c r="AE3" s="45">
        <v>1927</v>
      </c>
      <c r="AF3" s="46">
        <v>69.81884057971014</v>
      </c>
      <c r="AG3" s="45">
        <v>2760</v>
      </c>
      <c r="AH3" s="77" t="s">
        <v>3462</v>
      </c>
      <c r="AI3" s="77" t="s">
        <v>1670</v>
      </c>
      <c r="AJ3" s="77"/>
      <c r="AK3" s="80" t="s">
        <v>3496</v>
      </c>
      <c r="AL3" s="80" t="s">
        <v>3567</v>
      </c>
    </row>
    <row r="4" spans="1:38" ht="15">
      <c r="A4" s="62" t="s">
        <v>2185</v>
      </c>
      <c r="B4" s="63" t="s">
        <v>2193</v>
      </c>
      <c r="C4" s="63" t="s">
        <v>56</v>
      </c>
      <c r="D4" s="100"/>
      <c r="E4" s="11"/>
      <c r="F4" s="12" t="s">
        <v>3615</v>
      </c>
      <c r="G4" s="61"/>
      <c r="H4" s="61"/>
      <c r="I4" s="101">
        <v>4</v>
      </c>
      <c r="J4" s="75"/>
      <c r="K4" s="45">
        <v>19</v>
      </c>
      <c r="L4" s="45">
        <v>27</v>
      </c>
      <c r="M4" s="45">
        <v>258</v>
      </c>
      <c r="N4" s="45">
        <v>285</v>
      </c>
      <c r="O4" s="45">
        <v>0</v>
      </c>
      <c r="P4" s="46">
        <v>0</v>
      </c>
      <c r="Q4" s="46">
        <v>0</v>
      </c>
      <c r="R4" s="45">
        <v>1</v>
      </c>
      <c r="S4" s="45">
        <v>0</v>
      </c>
      <c r="T4" s="45">
        <v>19</v>
      </c>
      <c r="U4" s="45">
        <v>285</v>
      </c>
      <c r="V4" s="45">
        <v>4</v>
      </c>
      <c r="W4" s="46">
        <v>1.778393</v>
      </c>
      <c r="X4" s="46">
        <v>0.17251461988304093</v>
      </c>
      <c r="Y4" s="45">
        <v>51</v>
      </c>
      <c r="Z4" s="46">
        <v>2.432045779685265</v>
      </c>
      <c r="AA4" s="45">
        <v>9</v>
      </c>
      <c r="AB4" s="46">
        <v>0.4291845493562232</v>
      </c>
      <c r="AC4" s="45">
        <v>0</v>
      </c>
      <c r="AD4" s="46">
        <v>0</v>
      </c>
      <c r="AE4" s="45">
        <v>1513</v>
      </c>
      <c r="AF4" s="46">
        <v>72.15069146399618</v>
      </c>
      <c r="AG4" s="45">
        <v>2097</v>
      </c>
      <c r="AH4" s="77" t="s">
        <v>3463</v>
      </c>
      <c r="AI4" s="77" t="s">
        <v>1672</v>
      </c>
      <c r="AJ4" s="77"/>
      <c r="AK4" s="80" t="s">
        <v>3497</v>
      </c>
      <c r="AL4" s="80" t="s">
        <v>3568</v>
      </c>
    </row>
    <row r="5" spans="1:38" ht="15">
      <c r="A5" s="62" t="s">
        <v>2186</v>
      </c>
      <c r="B5" s="63" t="s">
        <v>2194</v>
      </c>
      <c r="C5" s="63" t="s">
        <v>56</v>
      </c>
      <c r="D5" s="100"/>
      <c r="E5" s="11"/>
      <c r="F5" s="12" t="s">
        <v>3616</v>
      </c>
      <c r="G5" s="61"/>
      <c r="H5" s="61"/>
      <c r="I5" s="101">
        <v>5</v>
      </c>
      <c r="J5" s="75"/>
      <c r="K5" s="45">
        <v>16</v>
      </c>
      <c r="L5" s="45">
        <v>26</v>
      </c>
      <c r="M5" s="45">
        <v>60</v>
      </c>
      <c r="N5" s="45">
        <v>86</v>
      </c>
      <c r="O5" s="45">
        <v>0</v>
      </c>
      <c r="P5" s="46">
        <v>0</v>
      </c>
      <c r="Q5" s="46">
        <v>0</v>
      </c>
      <c r="R5" s="45">
        <v>1</v>
      </c>
      <c r="S5" s="45">
        <v>0</v>
      </c>
      <c r="T5" s="45">
        <v>16</v>
      </c>
      <c r="U5" s="45">
        <v>86</v>
      </c>
      <c r="V5" s="45">
        <v>4</v>
      </c>
      <c r="W5" s="46">
        <v>1.773438</v>
      </c>
      <c r="X5" s="46">
        <v>0.175</v>
      </c>
      <c r="Y5" s="45">
        <v>59</v>
      </c>
      <c r="Z5" s="46">
        <v>2.866861030126336</v>
      </c>
      <c r="AA5" s="45">
        <v>14</v>
      </c>
      <c r="AB5" s="46">
        <v>0.6802721088435374</v>
      </c>
      <c r="AC5" s="45">
        <v>0</v>
      </c>
      <c r="AD5" s="46">
        <v>0</v>
      </c>
      <c r="AE5" s="45">
        <v>1383</v>
      </c>
      <c r="AF5" s="46">
        <v>67.20116618075802</v>
      </c>
      <c r="AG5" s="45">
        <v>2058</v>
      </c>
      <c r="AH5" s="77" t="s">
        <v>3464</v>
      </c>
      <c r="AI5" s="77" t="s">
        <v>3475</v>
      </c>
      <c r="AJ5" s="77"/>
      <c r="AK5" s="80" t="s">
        <v>3498</v>
      </c>
      <c r="AL5" s="80" t="s">
        <v>3569</v>
      </c>
    </row>
    <row r="6" spans="1:38" ht="15">
      <c r="A6" s="62" t="s">
        <v>2187</v>
      </c>
      <c r="B6" s="63" t="s">
        <v>2195</v>
      </c>
      <c r="C6" s="63" t="s">
        <v>56</v>
      </c>
      <c r="D6" s="100"/>
      <c r="E6" s="11"/>
      <c r="F6" s="12" t="s">
        <v>3617</v>
      </c>
      <c r="G6" s="61"/>
      <c r="H6" s="61"/>
      <c r="I6" s="101">
        <v>6</v>
      </c>
      <c r="J6" s="75"/>
      <c r="K6" s="45">
        <v>15</v>
      </c>
      <c r="L6" s="45">
        <v>0</v>
      </c>
      <c r="M6" s="45">
        <v>0</v>
      </c>
      <c r="N6" s="45">
        <v>0</v>
      </c>
      <c r="O6" s="45">
        <v>0</v>
      </c>
      <c r="P6" s="46" t="s">
        <v>2203</v>
      </c>
      <c r="Q6" s="46" t="s">
        <v>2203</v>
      </c>
      <c r="R6" s="45">
        <v>15</v>
      </c>
      <c r="S6" s="45">
        <v>15</v>
      </c>
      <c r="T6" s="45">
        <v>1</v>
      </c>
      <c r="U6" s="45">
        <v>0</v>
      </c>
      <c r="V6" s="45" t="s">
        <v>2203</v>
      </c>
      <c r="W6" s="46" t="s">
        <v>2203</v>
      </c>
      <c r="X6" s="46">
        <v>0</v>
      </c>
      <c r="Y6" s="45">
        <v>36</v>
      </c>
      <c r="Z6" s="46">
        <v>2.258469259723965</v>
      </c>
      <c r="AA6" s="45">
        <v>10</v>
      </c>
      <c r="AB6" s="46">
        <v>0.6273525721455459</v>
      </c>
      <c r="AC6" s="45">
        <v>0</v>
      </c>
      <c r="AD6" s="46">
        <v>0</v>
      </c>
      <c r="AE6" s="45">
        <v>1366</v>
      </c>
      <c r="AF6" s="46">
        <v>85.69636135508155</v>
      </c>
      <c r="AG6" s="45">
        <v>1594</v>
      </c>
      <c r="AH6" s="77"/>
      <c r="AI6" s="77"/>
      <c r="AJ6" s="77"/>
      <c r="AK6" s="80" t="s">
        <v>3499</v>
      </c>
      <c r="AL6" s="80" t="s">
        <v>3570</v>
      </c>
    </row>
    <row r="7" spans="1:38" ht="15">
      <c r="A7" s="62" t="s">
        <v>2188</v>
      </c>
      <c r="B7" s="63" t="s">
        <v>2196</v>
      </c>
      <c r="C7" s="63" t="s">
        <v>56</v>
      </c>
      <c r="D7" s="100"/>
      <c r="E7" s="11"/>
      <c r="F7" s="12" t="s">
        <v>3618</v>
      </c>
      <c r="G7" s="61"/>
      <c r="H7" s="61"/>
      <c r="I7" s="101">
        <v>7</v>
      </c>
      <c r="J7" s="75"/>
      <c r="K7" s="45">
        <v>13</v>
      </c>
      <c r="L7" s="45">
        <v>7</v>
      </c>
      <c r="M7" s="45">
        <v>52</v>
      </c>
      <c r="N7" s="45">
        <v>59</v>
      </c>
      <c r="O7" s="45">
        <v>0</v>
      </c>
      <c r="P7" s="46">
        <v>0</v>
      </c>
      <c r="Q7" s="46">
        <v>0</v>
      </c>
      <c r="R7" s="45">
        <v>1</v>
      </c>
      <c r="S7" s="45">
        <v>0</v>
      </c>
      <c r="T7" s="45">
        <v>13</v>
      </c>
      <c r="U7" s="45">
        <v>59</v>
      </c>
      <c r="V7" s="45">
        <v>6</v>
      </c>
      <c r="W7" s="46">
        <v>2.272189</v>
      </c>
      <c r="X7" s="46">
        <v>0.1346153846153846</v>
      </c>
      <c r="Y7" s="45">
        <v>26</v>
      </c>
      <c r="Z7" s="46">
        <v>2.0360219263899766</v>
      </c>
      <c r="AA7" s="45">
        <v>17</v>
      </c>
      <c r="AB7" s="46">
        <v>1.331245105716523</v>
      </c>
      <c r="AC7" s="45">
        <v>1</v>
      </c>
      <c r="AD7" s="46">
        <v>0.07830853563038372</v>
      </c>
      <c r="AE7" s="45">
        <v>998</v>
      </c>
      <c r="AF7" s="46">
        <v>78.15191855912295</v>
      </c>
      <c r="AG7" s="45">
        <v>1277</v>
      </c>
      <c r="AH7" s="77" t="s">
        <v>3452</v>
      </c>
      <c r="AI7" s="77" t="s">
        <v>1670</v>
      </c>
      <c r="AJ7" s="77"/>
      <c r="AK7" s="80" t="s">
        <v>3500</v>
      </c>
      <c r="AL7" s="80" t="s">
        <v>3571</v>
      </c>
    </row>
    <row r="8" spans="1:38" ht="15">
      <c r="A8" s="62" t="s">
        <v>2189</v>
      </c>
      <c r="B8" s="63" t="s">
        <v>2197</v>
      </c>
      <c r="C8" s="63" t="s">
        <v>56</v>
      </c>
      <c r="D8" s="100"/>
      <c r="E8" s="11"/>
      <c r="F8" s="12" t="s">
        <v>3619</v>
      </c>
      <c r="G8" s="61"/>
      <c r="H8" s="61"/>
      <c r="I8" s="101">
        <v>8</v>
      </c>
      <c r="J8" s="75"/>
      <c r="K8" s="45">
        <v>5</v>
      </c>
      <c r="L8" s="45">
        <v>3</v>
      </c>
      <c r="M8" s="45">
        <v>4</v>
      </c>
      <c r="N8" s="45">
        <v>7</v>
      </c>
      <c r="O8" s="45">
        <v>0</v>
      </c>
      <c r="P8" s="46">
        <v>0</v>
      </c>
      <c r="Q8" s="46">
        <v>0</v>
      </c>
      <c r="R8" s="45">
        <v>1</v>
      </c>
      <c r="S8" s="45">
        <v>0</v>
      </c>
      <c r="T8" s="45">
        <v>5</v>
      </c>
      <c r="U8" s="45">
        <v>7</v>
      </c>
      <c r="V8" s="45">
        <v>2</v>
      </c>
      <c r="W8" s="46">
        <v>1.2</v>
      </c>
      <c r="X8" s="46">
        <v>0.25</v>
      </c>
      <c r="Y8" s="45">
        <v>28</v>
      </c>
      <c r="Z8" s="46">
        <v>3.060109289617486</v>
      </c>
      <c r="AA8" s="45">
        <v>7</v>
      </c>
      <c r="AB8" s="46">
        <v>0.7650273224043715</v>
      </c>
      <c r="AC8" s="45">
        <v>0</v>
      </c>
      <c r="AD8" s="46">
        <v>0</v>
      </c>
      <c r="AE8" s="45">
        <v>660</v>
      </c>
      <c r="AF8" s="46">
        <v>72.1311475409836</v>
      </c>
      <c r="AG8" s="45">
        <v>915</v>
      </c>
      <c r="AH8" s="77" t="s">
        <v>3455</v>
      </c>
      <c r="AI8" s="77" t="s">
        <v>1670</v>
      </c>
      <c r="AJ8" s="77"/>
      <c r="AK8" s="80" t="s">
        <v>3501</v>
      </c>
      <c r="AL8" s="80" t="s">
        <v>3572</v>
      </c>
    </row>
    <row r="9" spans="1:38" ht="15">
      <c r="A9" s="62" t="s">
        <v>2190</v>
      </c>
      <c r="B9" s="63" t="s">
        <v>2198</v>
      </c>
      <c r="C9" s="63" t="s">
        <v>56</v>
      </c>
      <c r="D9" s="100"/>
      <c r="E9" s="11"/>
      <c r="F9" s="12" t="s">
        <v>3620</v>
      </c>
      <c r="G9" s="61"/>
      <c r="H9" s="61"/>
      <c r="I9" s="101">
        <v>9</v>
      </c>
      <c r="J9" s="75"/>
      <c r="K9" s="45">
        <v>3</v>
      </c>
      <c r="L9" s="45">
        <v>2</v>
      </c>
      <c r="M9" s="45">
        <v>11</v>
      </c>
      <c r="N9" s="45">
        <v>13</v>
      </c>
      <c r="O9" s="45">
        <v>0</v>
      </c>
      <c r="P9" s="46">
        <v>0</v>
      </c>
      <c r="Q9" s="46">
        <v>0</v>
      </c>
      <c r="R9" s="45">
        <v>1</v>
      </c>
      <c r="S9" s="45">
        <v>0</v>
      </c>
      <c r="T9" s="45">
        <v>3</v>
      </c>
      <c r="U9" s="45">
        <v>13</v>
      </c>
      <c r="V9" s="45">
        <v>1</v>
      </c>
      <c r="W9" s="46">
        <v>0.666667</v>
      </c>
      <c r="X9" s="46">
        <v>0.5</v>
      </c>
      <c r="Y9" s="45">
        <v>0</v>
      </c>
      <c r="Z9" s="46">
        <v>0</v>
      </c>
      <c r="AA9" s="45">
        <v>1</v>
      </c>
      <c r="AB9" s="46">
        <v>5</v>
      </c>
      <c r="AC9" s="45">
        <v>0</v>
      </c>
      <c r="AD9" s="46">
        <v>0</v>
      </c>
      <c r="AE9" s="45">
        <v>15</v>
      </c>
      <c r="AF9" s="46">
        <v>75</v>
      </c>
      <c r="AG9" s="45">
        <v>20</v>
      </c>
      <c r="AH9" s="77"/>
      <c r="AI9" s="77"/>
      <c r="AJ9" s="77"/>
      <c r="AK9" s="80" t="s">
        <v>3502</v>
      </c>
      <c r="AL9" s="80" t="s">
        <v>3560</v>
      </c>
    </row>
    <row r="10" spans="1:38" ht="14.25" customHeight="1">
      <c r="A10" s="62" t="s">
        <v>2191</v>
      </c>
      <c r="B10" s="63" t="s">
        <v>2199</v>
      </c>
      <c r="C10" s="63" t="s">
        <v>56</v>
      </c>
      <c r="D10" s="100"/>
      <c r="E10" s="11"/>
      <c r="F10" s="12" t="s">
        <v>3621</v>
      </c>
      <c r="G10" s="61"/>
      <c r="H10" s="61"/>
      <c r="I10" s="101">
        <v>10</v>
      </c>
      <c r="J10" s="75"/>
      <c r="K10" s="45">
        <v>2</v>
      </c>
      <c r="L10" s="45">
        <v>0</v>
      </c>
      <c r="M10" s="45">
        <v>2</v>
      </c>
      <c r="N10" s="45">
        <v>2</v>
      </c>
      <c r="O10" s="45">
        <v>0</v>
      </c>
      <c r="P10" s="46">
        <v>0</v>
      </c>
      <c r="Q10" s="46">
        <v>0</v>
      </c>
      <c r="R10" s="45">
        <v>1</v>
      </c>
      <c r="S10" s="45">
        <v>0</v>
      </c>
      <c r="T10" s="45">
        <v>2</v>
      </c>
      <c r="U10" s="45">
        <v>2</v>
      </c>
      <c r="V10" s="45">
        <v>1</v>
      </c>
      <c r="W10" s="46">
        <v>0.5</v>
      </c>
      <c r="X10" s="46">
        <v>0.5</v>
      </c>
      <c r="Y10" s="45">
        <v>10</v>
      </c>
      <c r="Z10" s="46">
        <v>4.032258064516129</v>
      </c>
      <c r="AA10" s="45">
        <v>0</v>
      </c>
      <c r="AB10" s="46">
        <v>0</v>
      </c>
      <c r="AC10" s="45">
        <v>0</v>
      </c>
      <c r="AD10" s="46">
        <v>0</v>
      </c>
      <c r="AE10" s="45">
        <v>152</v>
      </c>
      <c r="AF10" s="46">
        <v>61.29032258064516</v>
      </c>
      <c r="AG10" s="45">
        <v>248</v>
      </c>
      <c r="AH10" s="77"/>
      <c r="AI10" s="77"/>
      <c r="AJ10" s="77"/>
      <c r="AK10" s="80" t="s">
        <v>3503</v>
      </c>
      <c r="AL10" s="80" t="s">
        <v>3573</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7" t="s">
        <v>2184</v>
      </c>
      <c r="B2" s="80" t="s">
        <v>284</v>
      </c>
      <c r="C2" s="77">
        <f>VLOOKUP("~"&amp;GroupVertices[[#This Row],[Vertex]],Vertices[],MATCH("ID",Vertices[[#Headers],[Vertex]:[Top Word Pairs in Description by Salience]],0),FALSE)</f>
        <v>26</v>
      </c>
    </row>
    <row r="3" spans="1:3" ht="15">
      <c r="A3" s="78" t="s">
        <v>2184</v>
      </c>
      <c r="B3" s="80" t="s">
        <v>277</v>
      </c>
      <c r="C3" s="77">
        <f>VLOOKUP("~"&amp;GroupVertices[[#This Row],[Vertex]],Vertices[],MATCH("ID",Vertices[[#Headers],[Vertex]:[Top Word Pairs in Description by Salience]],0),FALSE)</f>
        <v>31</v>
      </c>
    </row>
    <row r="4" spans="1:3" ht="15">
      <c r="A4" s="78" t="s">
        <v>2184</v>
      </c>
      <c r="B4" s="80" t="s">
        <v>266</v>
      </c>
      <c r="C4" s="77">
        <f>VLOOKUP("~"&amp;GroupVertices[[#This Row],[Vertex]],Vertices[],MATCH("ID",Vertices[[#Headers],[Vertex]:[Top Word Pairs in Description by Salience]],0),FALSE)</f>
        <v>39</v>
      </c>
    </row>
    <row r="5" spans="1:3" ht="15">
      <c r="A5" s="78" t="s">
        <v>2184</v>
      </c>
      <c r="B5" s="80" t="s">
        <v>245</v>
      </c>
      <c r="C5" s="77">
        <f>VLOOKUP("~"&amp;GroupVertices[[#This Row],[Vertex]],Vertices[],MATCH("ID",Vertices[[#Headers],[Vertex]:[Top Word Pairs in Description by Salience]],0),FALSE)</f>
        <v>28</v>
      </c>
    </row>
    <row r="6" spans="1:3" ht="15">
      <c r="A6" s="78" t="s">
        <v>2184</v>
      </c>
      <c r="B6" s="80" t="s">
        <v>250</v>
      </c>
      <c r="C6" s="77">
        <f>VLOOKUP("~"&amp;GroupVertices[[#This Row],[Vertex]],Vertices[],MATCH("ID",Vertices[[#Headers],[Vertex]:[Top Word Pairs in Description by Salience]],0),FALSE)</f>
        <v>66</v>
      </c>
    </row>
    <row r="7" spans="1:3" ht="15">
      <c r="A7" s="78" t="s">
        <v>2184</v>
      </c>
      <c r="B7" s="80" t="s">
        <v>260</v>
      </c>
      <c r="C7" s="77">
        <f>VLOOKUP("~"&amp;GroupVertices[[#This Row],[Vertex]],Vertices[],MATCH("ID",Vertices[[#Headers],[Vertex]:[Top Word Pairs in Description by Salience]],0),FALSE)</f>
        <v>6</v>
      </c>
    </row>
    <row r="8" spans="1:3" ht="15">
      <c r="A8" s="78" t="s">
        <v>2184</v>
      </c>
      <c r="B8" s="80" t="s">
        <v>258</v>
      </c>
      <c r="C8" s="77">
        <f>VLOOKUP("~"&amp;GroupVertices[[#This Row],[Vertex]],Vertices[],MATCH("ID",Vertices[[#Headers],[Vertex]:[Top Word Pairs in Description by Salience]],0),FALSE)</f>
        <v>32</v>
      </c>
    </row>
    <row r="9" spans="1:3" ht="15">
      <c r="A9" s="78" t="s">
        <v>2184</v>
      </c>
      <c r="B9" s="80" t="s">
        <v>256</v>
      </c>
      <c r="C9" s="77">
        <f>VLOOKUP("~"&amp;GroupVertices[[#This Row],[Vertex]],Vertices[],MATCH("ID",Vertices[[#Headers],[Vertex]:[Top Word Pairs in Description by Salience]],0),FALSE)</f>
        <v>22</v>
      </c>
    </row>
    <row r="10" spans="1:3" ht="15">
      <c r="A10" s="78" t="s">
        <v>2184</v>
      </c>
      <c r="B10" s="80" t="s">
        <v>259</v>
      </c>
      <c r="C10" s="77">
        <f>VLOOKUP("~"&amp;GroupVertices[[#This Row],[Vertex]],Vertices[],MATCH("ID",Vertices[[#Headers],[Vertex]:[Top Word Pairs in Description by Salience]],0),FALSE)</f>
        <v>44</v>
      </c>
    </row>
    <row r="11" spans="1:3" ht="15">
      <c r="A11" s="78" t="s">
        <v>2184</v>
      </c>
      <c r="B11" s="80" t="s">
        <v>285</v>
      </c>
      <c r="C11" s="77">
        <f>VLOOKUP("~"&amp;GroupVertices[[#This Row],[Vertex]],Vertices[],MATCH("ID",Vertices[[#Headers],[Vertex]:[Top Word Pairs in Description by Salience]],0),FALSE)</f>
        <v>58</v>
      </c>
    </row>
    <row r="12" spans="1:3" ht="15">
      <c r="A12" s="78" t="s">
        <v>2184</v>
      </c>
      <c r="B12" s="80" t="s">
        <v>235</v>
      </c>
      <c r="C12" s="77">
        <f>VLOOKUP("~"&amp;GroupVertices[[#This Row],[Vertex]],Vertices[],MATCH("ID",Vertices[[#Headers],[Vertex]:[Top Word Pairs in Description by Salience]],0),FALSE)</f>
        <v>3</v>
      </c>
    </row>
    <row r="13" spans="1:3" ht="15">
      <c r="A13" s="78" t="s">
        <v>2184</v>
      </c>
      <c r="B13" s="80" t="s">
        <v>253</v>
      </c>
      <c r="C13" s="77">
        <f>VLOOKUP("~"&amp;GroupVertices[[#This Row],[Vertex]],Vertices[],MATCH("ID",Vertices[[#Headers],[Vertex]:[Top Word Pairs in Description by Salience]],0),FALSE)</f>
        <v>17</v>
      </c>
    </row>
    <row r="14" spans="1:3" ht="15">
      <c r="A14" s="78" t="s">
        <v>2184</v>
      </c>
      <c r="B14" s="80" t="s">
        <v>267</v>
      </c>
      <c r="C14" s="77">
        <f>VLOOKUP("~"&amp;GroupVertices[[#This Row],[Vertex]],Vertices[],MATCH("ID",Vertices[[#Headers],[Vertex]:[Top Word Pairs in Description by Salience]],0),FALSE)</f>
        <v>20</v>
      </c>
    </row>
    <row r="15" spans="1:3" ht="15">
      <c r="A15" s="78" t="s">
        <v>2184</v>
      </c>
      <c r="B15" s="80" t="s">
        <v>257</v>
      </c>
      <c r="C15" s="77">
        <f>VLOOKUP("~"&amp;GroupVertices[[#This Row],[Vertex]],Vertices[],MATCH("ID",Vertices[[#Headers],[Vertex]:[Top Word Pairs in Description by Salience]],0),FALSE)</f>
        <v>47</v>
      </c>
    </row>
    <row r="16" spans="1:3" ht="15">
      <c r="A16" s="78" t="s">
        <v>2184</v>
      </c>
      <c r="B16" s="80" t="s">
        <v>255</v>
      </c>
      <c r="C16" s="77">
        <f>VLOOKUP("~"&amp;GroupVertices[[#This Row],[Vertex]],Vertices[],MATCH("ID",Vertices[[#Headers],[Vertex]:[Top Word Pairs in Description by Salience]],0),FALSE)</f>
        <v>34</v>
      </c>
    </row>
    <row r="17" spans="1:3" ht="15">
      <c r="A17" s="78" t="s">
        <v>2184</v>
      </c>
      <c r="B17" s="80" t="s">
        <v>228</v>
      </c>
      <c r="C17" s="77">
        <f>VLOOKUP("~"&amp;GroupVertices[[#This Row],[Vertex]],Vertices[],MATCH("ID",Vertices[[#Headers],[Vertex]:[Top Word Pairs in Description by Salience]],0),FALSE)</f>
        <v>8</v>
      </c>
    </row>
    <row r="18" spans="1:3" ht="15">
      <c r="A18" s="78" t="s">
        <v>2184</v>
      </c>
      <c r="B18" s="80" t="s">
        <v>278</v>
      </c>
      <c r="C18" s="77">
        <f>VLOOKUP("~"&amp;GroupVertices[[#This Row],[Vertex]],Vertices[],MATCH("ID",Vertices[[#Headers],[Vertex]:[Top Word Pairs in Description by Salience]],0),FALSE)</f>
        <v>49</v>
      </c>
    </row>
    <row r="19" spans="1:3" ht="15">
      <c r="A19" s="78" t="s">
        <v>2184</v>
      </c>
      <c r="B19" s="80" t="s">
        <v>302</v>
      </c>
      <c r="C19" s="77">
        <f>VLOOKUP("~"&amp;GroupVertices[[#This Row],[Vertex]],Vertices[],MATCH("ID",Vertices[[#Headers],[Vertex]:[Top Word Pairs in Description by Salience]],0),FALSE)</f>
        <v>81</v>
      </c>
    </row>
    <row r="20" spans="1:3" ht="15">
      <c r="A20" s="78" t="s">
        <v>2184</v>
      </c>
      <c r="B20" s="80" t="s">
        <v>276</v>
      </c>
      <c r="C20" s="77">
        <f>VLOOKUP("~"&amp;GroupVertices[[#This Row],[Vertex]],Vertices[],MATCH("ID",Vertices[[#Headers],[Vertex]:[Top Word Pairs in Description by Salience]],0),FALSE)</f>
        <v>69</v>
      </c>
    </row>
    <row r="21" spans="1:3" ht="15">
      <c r="A21" s="78" t="s">
        <v>2184</v>
      </c>
      <c r="B21" s="80" t="s">
        <v>275</v>
      </c>
      <c r="C21" s="77">
        <f>VLOOKUP("~"&amp;GroupVertices[[#This Row],[Vertex]],Vertices[],MATCH("ID",Vertices[[#Headers],[Vertex]:[Top Word Pairs in Description by Salience]],0),FALSE)</f>
        <v>57</v>
      </c>
    </row>
    <row r="22" spans="1:3" ht="15">
      <c r="A22" s="78" t="s">
        <v>2184</v>
      </c>
      <c r="B22" s="80" t="s">
        <v>252</v>
      </c>
      <c r="C22" s="77">
        <f>VLOOKUP("~"&amp;GroupVertices[[#This Row],[Vertex]],Vertices[],MATCH("ID",Vertices[[#Headers],[Vertex]:[Top Word Pairs in Description by Salience]],0),FALSE)</f>
        <v>67</v>
      </c>
    </row>
    <row r="23" spans="1:3" ht="15">
      <c r="A23" s="78" t="s">
        <v>2184</v>
      </c>
      <c r="B23" s="80" t="s">
        <v>299</v>
      </c>
      <c r="C23" s="77">
        <f>VLOOKUP("~"&amp;GroupVertices[[#This Row],[Vertex]],Vertices[],MATCH("ID",Vertices[[#Headers],[Vertex]:[Top Word Pairs in Description by Salience]],0),FALSE)</f>
        <v>73</v>
      </c>
    </row>
    <row r="24" spans="1:3" ht="15">
      <c r="A24" s="78" t="s">
        <v>2184</v>
      </c>
      <c r="B24" s="80" t="s">
        <v>248</v>
      </c>
      <c r="C24" s="77">
        <f>VLOOKUP("~"&amp;GroupVertices[[#This Row],[Vertex]],Vertices[],MATCH("ID",Vertices[[#Headers],[Vertex]:[Top Word Pairs in Description by Salience]],0),FALSE)</f>
        <v>13</v>
      </c>
    </row>
    <row r="25" spans="1:3" ht="15">
      <c r="A25" s="78" t="s">
        <v>2184</v>
      </c>
      <c r="B25" s="80" t="s">
        <v>234</v>
      </c>
      <c r="C25" s="77">
        <f>VLOOKUP("~"&amp;GroupVertices[[#This Row],[Vertex]],Vertices[],MATCH("ID",Vertices[[#Headers],[Vertex]:[Top Word Pairs in Description by Salience]],0),FALSE)</f>
        <v>79</v>
      </c>
    </row>
    <row r="26" spans="1:3" ht="15">
      <c r="A26" s="78" t="s">
        <v>2184</v>
      </c>
      <c r="B26" s="80" t="s">
        <v>233</v>
      </c>
      <c r="C26" s="77">
        <f>VLOOKUP("~"&amp;GroupVertices[[#This Row],[Vertex]],Vertices[],MATCH("ID",Vertices[[#Headers],[Vertex]:[Top Word Pairs in Description by Salience]],0),FALSE)</f>
        <v>25</v>
      </c>
    </row>
    <row r="27" spans="1:3" ht="15">
      <c r="A27" s="78" t="s">
        <v>2185</v>
      </c>
      <c r="B27" s="80" t="s">
        <v>247</v>
      </c>
      <c r="C27" s="77">
        <f>VLOOKUP("~"&amp;GroupVertices[[#This Row],[Vertex]],Vertices[],MATCH("ID",Vertices[[#Headers],[Vertex]:[Top Word Pairs in Description by Salience]],0),FALSE)</f>
        <v>36</v>
      </c>
    </row>
    <row r="28" spans="1:3" ht="15">
      <c r="A28" s="78" t="s">
        <v>2185</v>
      </c>
      <c r="B28" s="80" t="s">
        <v>249</v>
      </c>
      <c r="C28" s="77">
        <f>VLOOKUP("~"&amp;GroupVertices[[#This Row],[Vertex]],Vertices[],MATCH("ID",Vertices[[#Headers],[Vertex]:[Top Word Pairs in Description by Salience]],0),FALSE)</f>
        <v>5</v>
      </c>
    </row>
    <row r="29" spans="1:3" ht="15">
      <c r="A29" s="78" t="s">
        <v>2185</v>
      </c>
      <c r="B29" s="80" t="s">
        <v>294</v>
      </c>
      <c r="C29" s="77">
        <f>VLOOKUP("~"&amp;GroupVertices[[#This Row],[Vertex]],Vertices[],MATCH("ID",Vertices[[#Headers],[Vertex]:[Top Word Pairs in Description by Salience]],0),FALSE)</f>
        <v>18</v>
      </c>
    </row>
    <row r="30" spans="1:3" ht="15">
      <c r="A30" s="78" t="s">
        <v>2185</v>
      </c>
      <c r="B30" s="80" t="s">
        <v>287</v>
      </c>
      <c r="C30" s="77">
        <f>VLOOKUP("~"&amp;GroupVertices[[#This Row],[Vertex]],Vertices[],MATCH("ID",Vertices[[#Headers],[Vertex]:[Top Word Pairs in Description by Salience]],0),FALSE)</f>
        <v>55</v>
      </c>
    </row>
    <row r="31" spans="1:3" ht="15">
      <c r="A31" s="78" t="s">
        <v>2185</v>
      </c>
      <c r="B31" s="80" t="s">
        <v>271</v>
      </c>
      <c r="C31" s="77">
        <f>VLOOKUP("~"&amp;GroupVertices[[#This Row],[Vertex]],Vertices[],MATCH("ID",Vertices[[#Headers],[Vertex]:[Top Word Pairs in Description by Salience]],0),FALSE)</f>
        <v>61</v>
      </c>
    </row>
    <row r="32" spans="1:3" ht="15">
      <c r="A32" s="78" t="s">
        <v>2185</v>
      </c>
      <c r="B32" s="80" t="s">
        <v>254</v>
      </c>
      <c r="C32" s="77">
        <f>VLOOKUP("~"&amp;GroupVertices[[#This Row],[Vertex]],Vertices[],MATCH("ID",Vertices[[#Headers],[Vertex]:[Top Word Pairs in Description by Salience]],0),FALSE)</f>
        <v>19</v>
      </c>
    </row>
    <row r="33" spans="1:3" ht="15">
      <c r="A33" s="78" t="s">
        <v>2185</v>
      </c>
      <c r="B33" s="80" t="s">
        <v>270</v>
      </c>
      <c r="C33" s="77">
        <f>VLOOKUP("~"&amp;GroupVertices[[#This Row],[Vertex]],Vertices[],MATCH("ID",Vertices[[#Headers],[Vertex]:[Top Word Pairs in Description by Salience]],0),FALSE)</f>
        <v>29</v>
      </c>
    </row>
    <row r="34" spans="1:3" ht="15">
      <c r="A34" s="78" t="s">
        <v>2185</v>
      </c>
      <c r="B34" s="80" t="s">
        <v>241</v>
      </c>
      <c r="C34" s="77">
        <f>VLOOKUP("~"&amp;GroupVertices[[#This Row],[Vertex]],Vertices[],MATCH("ID",Vertices[[#Headers],[Vertex]:[Top Word Pairs in Description by Salience]],0),FALSE)</f>
        <v>21</v>
      </c>
    </row>
    <row r="35" spans="1:3" ht="15">
      <c r="A35" s="78" t="s">
        <v>2185</v>
      </c>
      <c r="B35" s="80" t="s">
        <v>269</v>
      </c>
      <c r="C35" s="77">
        <f>VLOOKUP("~"&amp;GroupVertices[[#This Row],[Vertex]],Vertices[],MATCH("ID",Vertices[[#Headers],[Vertex]:[Top Word Pairs in Description by Salience]],0),FALSE)</f>
        <v>53</v>
      </c>
    </row>
    <row r="36" spans="1:3" ht="15">
      <c r="A36" s="78" t="s">
        <v>2185</v>
      </c>
      <c r="B36" s="80" t="s">
        <v>272</v>
      </c>
      <c r="C36" s="77">
        <f>VLOOKUP("~"&amp;GroupVertices[[#This Row],[Vertex]],Vertices[],MATCH("ID",Vertices[[#Headers],[Vertex]:[Top Word Pairs in Description by Salience]],0),FALSE)</f>
        <v>59</v>
      </c>
    </row>
    <row r="37" spans="1:3" ht="15">
      <c r="A37" s="78" t="s">
        <v>2185</v>
      </c>
      <c r="B37" s="80" t="s">
        <v>300</v>
      </c>
      <c r="C37" s="77">
        <f>VLOOKUP("~"&amp;GroupVertices[[#This Row],[Vertex]],Vertices[],MATCH("ID",Vertices[[#Headers],[Vertex]:[Top Word Pairs in Description by Salience]],0),FALSE)</f>
        <v>64</v>
      </c>
    </row>
    <row r="38" spans="1:3" ht="15">
      <c r="A38" s="78" t="s">
        <v>2185</v>
      </c>
      <c r="B38" s="80" t="s">
        <v>261</v>
      </c>
      <c r="C38" s="77">
        <f>VLOOKUP("~"&amp;GroupVertices[[#This Row],[Vertex]],Vertices[],MATCH("ID",Vertices[[#Headers],[Vertex]:[Top Word Pairs in Description by Salience]],0),FALSE)</f>
        <v>45</v>
      </c>
    </row>
    <row r="39" spans="1:3" ht="15">
      <c r="A39" s="78" t="s">
        <v>2185</v>
      </c>
      <c r="B39" s="80" t="s">
        <v>240</v>
      </c>
      <c r="C39" s="77">
        <f>VLOOKUP("~"&amp;GroupVertices[[#This Row],[Vertex]],Vertices[],MATCH("ID",Vertices[[#Headers],[Vertex]:[Top Word Pairs in Description by Salience]],0),FALSE)</f>
        <v>42</v>
      </c>
    </row>
    <row r="40" spans="1:3" ht="15">
      <c r="A40" s="78" t="s">
        <v>2185</v>
      </c>
      <c r="B40" s="80" t="s">
        <v>295</v>
      </c>
      <c r="C40" s="77">
        <f>VLOOKUP("~"&amp;GroupVertices[[#This Row],[Vertex]],Vertices[],MATCH("ID",Vertices[[#Headers],[Vertex]:[Top Word Pairs in Description by Salience]],0),FALSE)</f>
        <v>38</v>
      </c>
    </row>
    <row r="41" spans="1:3" ht="15">
      <c r="A41" s="78" t="s">
        <v>2185</v>
      </c>
      <c r="B41" s="80" t="s">
        <v>229</v>
      </c>
      <c r="C41" s="77">
        <f>VLOOKUP("~"&amp;GroupVertices[[#This Row],[Vertex]],Vertices[],MATCH("ID",Vertices[[#Headers],[Vertex]:[Top Word Pairs in Description by Salience]],0),FALSE)</f>
        <v>76</v>
      </c>
    </row>
    <row r="42" spans="1:3" ht="15">
      <c r="A42" s="78" t="s">
        <v>2185</v>
      </c>
      <c r="B42" s="80" t="s">
        <v>225</v>
      </c>
      <c r="C42" s="77">
        <f>VLOOKUP("~"&amp;GroupVertices[[#This Row],[Vertex]],Vertices[],MATCH("ID",Vertices[[#Headers],[Vertex]:[Top Word Pairs in Description by Salience]],0),FALSE)</f>
        <v>15</v>
      </c>
    </row>
    <row r="43" spans="1:3" ht="15">
      <c r="A43" s="78" t="s">
        <v>2185</v>
      </c>
      <c r="B43" s="80" t="s">
        <v>226</v>
      </c>
      <c r="C43" s="77">
        <f>VLOOKUP("~"&amp;GroupVertices[[#This Row],[Vertex]],Vertices[],MATCH("ID",Vertices[[#Headers],[Vertex]:[Top Word Pairs in Description by Salience]],0),FALSE)</f>
        <v>37</v>
      </c>
    </row>
    <row r="44" spans="1:3" ht="15">
      <c r="A44" s="78" t="s">
        <v>2185</v>
      </c>
      <c r="B44" s="80" t="s">
        <v>227</v>
      </c>
      <c r="C44" s="77">
        <f>VLOOKUP("~"&amp;GroupVertices[[#This Row],[Vertex]],Vertices[],MATCH("ID",Vertices[[#Headers],[Vertex]:[Top Word Pairs in Description by Salience]],0),FALSE)</f>
        <v>56</v>
      </c>
    </row>
    <row r="45" spans="1:3" ht="15">
      <c r="A45" s="78" t="s">
        <v>2185</v>
      </c>
      <c r="B45" s="80" t="s">
        <v>293</v>
      </c>
      <c r="C45" s="77">
        <f>VLOOKUP("~"&amp;GroupVertices[[#This Row],[Vertex]],Vertices[],MATCH("ID",Vertices[[#Headers],[Vertex]:[Top Word Pairs in Description by Salience]],0),FALSE)</f>
        <v>75</v>
      </c>
    </row>
    <row r="46" spans="1:3" ht="15">
      <c r="A46" s="78" t="s">
        <v>2186</v>
      </c>
      <c r="B46" s="80" t="s">
        <v>289</v>
      </c>
      <c r="C46" s="77">
        <f>VLOOKUP("~"&amp;GroupVertices[[#This Row],[Vertex]],Vertices[],MATCH("ID",Vertices[[#Headers],[Vertex]:[Top Word Pairs in Description by Salience]],0),FALSE)</f>
        <v>30</v>
      </c>
    </row>
    <row r="47" spans="1:3" ht="15">
      <c r="A47" s="78" t="s">
        <v>2186</v>
      </c>
      <c r="B47" s="80" t="s">
        <v>290</v>
      </c>
      <c r="C47" s="77">
        <f>VLOOKUP("~"&amp;GroupVertices[[#This Row],[Vertex]],Vertices[],MATCH("ID",Vertices[[#Headers],[Vertex]:[Top Word Pairs in Description by Salience]],0),FALSE)</f>
        <v>85</v>
      </c>
    </row>
    <row r="48" spans="1:3" ht="15">
      <c r="A48" s="78" t="s">
        <v>2186</v>
      </c>
      <c r="B48" s="80" t="s">
        <v>263</v>
      </c>
      <c r="C48" s="77">
        <f>VLOOKUP("~"&amp;GroupVertices[[#This Row],[Vertex]],Vertices[],MATCH("ID",Vertices[[#Headers],[Vertex]:[Top Word Pairs in Description by Salience]],0),FALSE)</f>
        <v>48</v>
      </c>
    </row>
    <row r="49" spans="1:3" ht="15">
      <c r="A49" s="78" t="s">
        <v>2186</v>
      </c>
      <c r="B49" s="80" t="s">
        <v>246</v>
      </c>
      <c r="C49" s="77">
        <f>VLOOKUP("~"&amp;GroupVertices[[#This Row],[Vertex]],Vertices[],MATCH("ID",Vertices[[#Headers],[Vertex]:[Top Word Pairs in Description by Salience]],0),FALSE)</f>
        <v>7</v>
      </c>
    </row>
    <row r="50" spans="1:3" ht="15">
      <c r="A50" s="78" t="s">
        <v>2186</v>
      </c>
      <c r="B50" s="80" t="s">
        <v>251</v>
      </c>
      <c r="C50" s="77">
        <f>VLOOKUP("~"&amp;GroupVertices[[#This Row],[Vertex]],Vertices[],MATCH("ID",Vertices[[#Headers],[Vertex]:[Top Word Pairs in Description by Salience]],0),FALSE)</f>
        <v>27</v>
      </c>
    </row>
    <row r="51" spans="1:3" ht="15">
      <c r="A51" s="78" t="s">
        <v>2186</v>
      </c>
      <c r="B51" s="80" t="s">
        <v>286</v>
      </c>
      <c r="C51" s="77">
        <f>VLOOKUP("~"&amp;GroupVertices[[#This Row],[Vertex]],Vertices[],MATCH("ID",Vertices[[#Headers],[Vertex]:[Top Word Pairs in Description by Salience]],0),FALSE)</f>
        <v>54</v>
      </c>
    </row>
    <row r="52" spans="1:3" ht="15">
      <c r="A52" s="78" t="s">
        <v>2186</v>
      </c>
      <c r="B52" s="80" t="s">
        <v>280</v>
      </c>
      <c r="C52" s="77">
        <f>VLOOKUP("~"&amp;GroupVertices[[#This Row],[Vertex]],Vertices[],MATCH("ID",Vertices[[#Headers],[Vertex]:[Top Word Pairs in Description by Salience]],0),FALSE)</f>
        <v>9</v>
      </c>
    </row>
    <row r="53" spans="1:3" ht="15">
      <c r="A53" s="78" t="s">
        <v>2186</v>
      </c>
      <c r="B53" s="80" t="s">
        <v>264</v>
      </c>
      <c r="C53" s="77">
        <f>VLOOKUP("~"&amp;GroupVertices[[#This Row],[Vertex]],Vertices[],MATCH("ID",Vertices[[#Headers],[Vertex]:[Top Word Pairs in Description by Salience]],0),FALSE)</f>
        <v>71</v>
      </c>
    </row>
    <row r="54" spans="1:3" ht="15">
      <c r="A54" s="78" t="s">
        <v>2186</v>
      </c>
      <c r="B54" s="80" t="s">
        <v>303</v>
      </c>
      <c r="C54" s="77">
        <f>VLOOKUP("~"&amp;GroupVertices[[#This Row],[Vertex]],Vertices[],MATCH("ID",Vertices[[#Headers],[Vertex]:[Top Word Pairs in Description by Salience]],0),FALSE)</f>
        <v>50</v>
      </c>
    </row>
    <row r="55" spans="1:3" ht="15">
      <c r="A55" s="78" t="s">
        <v>2186</v>
      </c>
      <c r="B55" s="80" t="s">
        <v>288</v>
      </c>
      <c r="C55" s="77">
        <f>VLOOKUP("~"&amp;GroupVertices[[#This Row],[Vertex]],Vertices[],MATCH("ID",Vertices[[#Headers],[Vertex]:[Top Word Pairs in Description by Salience]],0),FALSE)</f>
        <v>23</v>
      </c>
    </row>
    <row r="56" spans="1:3" ht="15">
      <c r="A56" s="78" t="s">
        <v>2186</v>
      </c>
      <c r="B56" s="80" t="s">
        <v>304</v>
      </c>
      <c r="C56" s="77">
        <f>VLOOKUP("~"&amp;GroupVertices[[#This Row],[Vertex]],Vertices[],MATCH("ID",Vertices[[#Headers],[Vertex]:[Top Word Pairs in Description by Salience]],0),FALSE)</f>
        <v>84</v>
      </c>
    </row>
    <row r="57" spans="1:3" ht="15">
      <c r="A57" s="78" t="s">
        <v>2186</v>
      </c>
      <c r="B57" s="80" t="s">
        <v>279</v>
      </c>
      <c r="C57" s="77">
        <f>VLOOKUP("~"&amp;GroupVertices[[#This Row],[Vertex]],Vertices[],MATCH("ID",Vertices[[#Headers],[Vertex]:[Top Word Pairs in Description by Salience]],0),FALSE)</f>
        <v>33</v>
      </c>
    </row>
    <row r="58" spans="1:3" ht="15">
      <c r="A58" s="78" t="s">
        <v>2186</v>
      </c>
      <c r="B58" s="80" t="s">
        <v>282</v>
      </c>
      <c r="C58" s="77">
        <f>VLOOKUP("~"&amp;GroupVertices[[#This Row],[Vertex]],Vertices[],MATCH("ID",Vertices[[#Headers],[Vertex]:[Top Word Pairs in Description by Salience]],0),FALSE)</f>
        <v>52</v>
      </c>
    </row>
    <row r="59" spans="1:3" ht="15">
      <c r="A59" s="78" t="s">
        <v>2186</v>
      </c>
      <c r="B59" s="80" t="s">
        <v>265</v>
      </c>
      <c r="C59" s="77">
        <f>VLOOKUP("~"&amp;GroupVertices[[#This Row],[Vertex]],Vertices[],MATCH("ID",Vertices[[#Headers],[Vertex]:[Top Word Pairs in Description by Salience]],0),FALSE)</f>
        <v>41</v>
      </c>
    </row>
    <row r="60" spans="1:3" ht="15">
      <c r="A60" s="78" t="s">
        <v>2186</v>
      </c>
      <c r="B60" s="80" t="s">
        <v>281</v>
      </c>
      <c r="C60" s="77">
        <f>VLOOKUP("~"&amp;GroupVertices[[#This Row],[Vertex]],Vertices[],MATCH("ID",Vertices[[#Headers],[Vertex]:[Top Word Pairs in Description by Salience]],0),FALSE)</f>
        <v>82</v>
      </c>
    </row>
    <row r="61" spans="1:3" ht="15">
      <c r="A61" s="78" t="s">
        <v>2186</v>
      </c>
      <c r="B61" s="80" t="s">
        <v>230</v>
      </c>
      <c r="C61" s="77">
        <f>VLOOKUP("~"&amp;GroupVertices[[#This Row],[Vertex]],Vertices[],MATCH("ID",Vertices[[#Headers],[Vertex]:[Top Word Pairs in Description by Salience]],0),FALSE)</f>
        <v>72</v>
      </c>
    </row>
    <row r="62" spans="1:3" ht="15">
      <c r="A62" s="78" t="s">
        <v>2187</v>
      </c>
      <c r="B62" s="80" t="s">
        <v>1728</v>
      </c>
      <c r="C62" s="77">
        <f>VLOOKUP("~"&amp;GroupVertices[[#This Row],[Vertex]],Vertices[],MATCH("ID",Vertices[[#Headers],[Vertex]:[Top Word Pairs in Description by Salience]],0),FALSE)</f>
        <v>86</v>
      </c>
    </row>
    <row r="63" spans="1:3" ht="15">
      <c r="A63" s="78" t="s">
        <v>2187</v>
      </c>
      <c r="B63" s="80" t="s">
        <v>1714</v>
      </c>
      <c r="C63" s="77">
        <f>VLOOKUP("~"&amp;GroupVertices[[#This Row],[Vertex]],Vertices[],MATCH("ID",Vertices[[#Headers],[Vertex]:[Top Word Pairs in Description by Salience]],0),FALSE)</f>
        <v>87</v>
      </c>
    </row>
    <row r="64" spans="1:3" ht="15">
      <c r="A64" s="78" t="s">
        <v>2187</v>
      </c>
      <c r="B64" s="80" t="s">
        <v>1715</v>
      </c>
      <c r="C64" s="77">
        <f>VLOOKUP("~"&amp;GroupVertices[[#This Row],[Vertex]],Vertices[],MATCH("ID",Vertices[[#Headers],[Vertex]:[Top Word Pairs in Description by Salience]],0),FALSE)</f>
        <v>88</v>
      </c>
    </row>
    <row r="65" spans="1:3" ht="15">
      <c r="A65" s="78" t="s">
        <v>2187</v>
      </c>
      <c r="B65" s="80" t="s">
        <v>1716</v>
      </c>
      <c r="C65" s="77">
        <f>VLOOKUP("~"&amp;GroupVertices[[#This Row],[Vertex]],Vertices[],MATCH("ID",Vertices[[#Headers],[Vertex]:[Top Word Pairs in Description by Salience]],0),FALSE)</f>
        <v>89</v>
      </c>
    </row>
    <row r="66" spans="1:3" ht="15">
      <c r="A66" s="78" t="s">
        <v>2187</v>
      </c>
      <c r="B66" s="80" t="s">
        <v>1717</v>
      </c>
      <c r="C66" s="77">
        <f>VLOOKUP("~"&amp;GroupVertices[[#This Row],[Vertex]],Vertices[],MATCH("ID",Vertices[[#Headers],[Vertex]:[Top Word Pairs in Description by Salience]],0),FALSE)</f>
        <v>90</v>
      </c>
    </row>
    <row r="67" spans="1:3" ht="15">
      <c r="A67" s="78" t="s">
        <v>2187</v>
      </c>
      <c r="B67" s="80" t="s">
        <v>1718</v>
      </c>
      <c r="C67" s="77">
        <f>VLOOKUP("~"&amp;GroupVertices[[#This Row],[Vertex]],Vertices[],MATCH("ID",Vertices[[#Headers],[Vertex]:[Top Word Pairs in Description by Salience]],0),FALSE)</f>
        <v>91</v>
      </c>
    </row>
    <row r="68" spans="1:3" ht="15">
      <c r="A68" s="78" t="s">
        <v>2187</v>
      </c>
      <c r="B68" s="80" t="s">
        <v>1719</v>
      </c>
      <c r="C68" s="77">
        <f>VLOOKUP("~"&amp;GroupVertices[[#This Row],[Vertex]],Vertices[],MATCH("ID",Vertices[[#Headers],[Vertex]:[Top Word Pairs in Description by Salience]],0),FALSE)</f>
        <v>92</v>
      </c>
    </row>
    <row r="69" spans="1:3" ht="15">
      <c r="A69" s="78" t="s">
        <v>2187</v>
      </c>
      <c r="B69" s="80" t="s">
        <v>1720</v>
      </c>
      <c r="C69" s="77">
        <f>VLOOKUP("~"&amp;GroupVertices[[#This Row],[Vertex]],Vertices[],MATCH("ID",Vertices[[#Headers],[Vertex]:[Top Word Pairs in Description by Salience]],0),FALSE)</f>
        <v>93</v>
      </c>
    </row>
    <row r="70" spans="1:3" ht="15">
      <c r="A70" s="78" t="s">
        <v>2187</v>
      </c>
      <c r="B70" s="80" t="s">
        <v>1721</v>
      </c>
      <c r="C70" s="77">
        <f>VLOOKUP("~"&amp;GroupVertices[[#This Row],[Vertex]],Vertices[],MATCH("ID",Vertices[[#Headers],[Vertex]:[Top Word Pairs in Description by Salience]],0),FALSE)</f>
        <v>94</v>
      </c>
    </row>
    <row r="71" spans="1:3" ht="15">
      <c r="A71" s="78" t="s">
        <v>2187</v>
      </c>
      <c r="B71" s="80" t="s">
        <v>1722</v>
      </c>
      <c r="C71" s="77">
        <f>VLOOKUP("~"&amp;GroupVertices[[#This Row],[Vertex]],Vertices[],MATCH("ID",Vertices[[#Headers],[Vertex]:[Top Word Pairs in Description by Salience]],0),FALSE)</f>
        <v>95</v>
      </c>
    </row>
    <row r="72" spans="1:3" ht="15">
      <c r="A72" s="78" t="s">
        <v>2187</v>
      </c>
      <c r="B72" s="80" t="s">
        <v>1723</v>
      </c>
      <c r="C72" s="77">
        <f>VLOOKUP("~"&amp;GroupVertices[[#This Row],[Vertex]],Vertices[],MATCH("ID",Vertices[[#Headers],[Vertex]:[Top Word Pairs in Description by Salience]],0),FALSE)</f>
        <v>96</v>
      </c>
    </row>
    <row r="73" spans="1:3" ht="15">
      <c r="A73" s="78" t="s">
        <v>2187</v>
      </c>
      <c r="B73" s="80" t="s">
        <v>1724</v>
      </c>
      <c r="C73" s="77">
        <f>VLOOKUP("~"&amp;GroupVertices[[#This Row],[Vertex]],Vertices[],MATCH("ID",Vertices[[#Headers],[Vertex]:[Top Word Pairs in Description by Salience]],0),FALSE)</f>
        <v>97</v>
      </c>
    </row>
    <row r="74" spans="1:3" ht="15">
      <c r="A74" s="78" t="s">
        <v>2187</v>
      </c>
      <c r="B74" s="80" t="s">
        <v>1725</v>
      </c>
      <c r="C74" s="77">
        <f>VLOOKUP("~"&amp;GroupVertices[[#This Row],[Vertex]],Vertices[],MATCH("ID",Vertices[[#Headers],[Vertex]:[Top Word Pairs in Description by Salience]],0),FALSE)</f>
        <v>98</v>
      </c>
    </row>
    <row r="75" spans="1:3" ht="15">
      <c r="A75" s="78" t="s">
        <v>2187</v>
      </c>
      <c r="B75" s="80" t="s">
        <v>1726</v>
      </c>
      <c r="C75" s="77">
        <f>VLOOKUP("~"&amp;GroupVertices[[#This Row],[Vertex]],Vertices[],MATCH("ID",Vertices[[#Headers],[Vertex]:[Top Word Pairs in Description by Salience]],0),FALSE)</f>
        <v>99</v>
      </c>
    </row>
    <row r="76" spans="1:3" ht="15">
      <c r="A76" s="78" t="s">
        <v>2187</v>
      </c>
      <c r="B76" s="80" t="s">
        <v>1727</v>
      </c>
      <c r="C76" s="77">
        <f>VLOOKUP("~"&amp;GroupVertices[[#This Row],[Vertex]],Vertices[],MATCH("ID",Vertices[[#Headers],[Vertex]:[Top Word Pairs in Description by Salience]],0),FALSE)</f>
        <v>100</v>
      </c>
    </row>
    <row r="77" spans="1:3" ht="15">
      <c r="A77" s="78" t="s">
        <v>2188</v>
      </c>
      <c r="B77" s="80" t="s">
        <v>223</v>
      </c>
      <c r="C77" s="77">
        <f>VLOOKUP("~"&amp;GroupVertices[[#This Row],[Vertex]],Vertices[],MATCH("ID",Vertices[[#Headers],[Vertex]:[Top Word Pairs in Description by Salience]],0),FALSE)</f>
        <v>4</v>
      </c>
    </row>
    <row r="78" spans="1:3" ht="15">
      <c r="A78" s="78" t="s">
        <v>2188</v>
      </c>
      <c r="B78" s="80" t="s">
        <v>243</v>
      </c>
      <c r="C78" s="77">
        <f>VLOOKUP("~"&amp;GroupVertices[[#This Row],[Vertex]],Vertices[],MATCH("ID",Vertices[[#Headers],[Vertex]:[Top Word Pairs in Description by Salience]],0),FALSE)</f>
        <v>35</v>
      </c>
    </row>
    <row r="79" spans="1:3" ht="15">
      <c r="A79" s="78" t="s">
        <v>2188</v>
      </c>
      <c r="B79" s="80" t="s">
        <v>242</v>
      </c>
      <c r="C79" s="77">
        <f>VLOOKUP("~"&amp;GroupVertices[[#This Row],[Vertex]],Vertices[],MATCH("ID",Vertices[[#Headers],[Vertex]:[Top Word Pairs in Description by Salience]],0),FALSE)</f>
        <v>43</v>
      </c>
    </row>
    <row r="80" spans="1:3" ht="15">
      <c r="A80" s="78" t="s">
        <v>2188</v>
      </c>
      <c r="B80" s="80" t="s">
        <v>244</v>
      </c>
      <c r="C80" s="77">
        <f>VLOOKUP("~"&amp;GroupVertices[[#This Row],[Vertex]],Vertices[],MATCH("ID",Vertices[[#Headers],[Vertex]:[Top Word Pairs in Description by Salience]],0),FALSE)</f>
        <v>63</v>
      </c>
    </row>
    <row r="81" spans="1:3" ht="15">
      <c r="A81" s="78" t="s">
        <v>2188</v>
      </c>
      <c r="B81" s="80" t="s">
        <v>298</v>
      </c>
      <c r="C81" s="77">
        <f>VLOOKUP("~"&amp;GroupVertices[[#This Row],[Vertex]],Vertices[],MATCH("ID",Vertices[[#Headers],[Vertex]:[Top Word Pairs in Description by Salience]],0),FALSE)</f>
        <v>65</v>
      </c>
    </row>
    <row r="82" spans="1:3" ht="15">
      <c r="A82" s="78" t="s">
        <v>2188</v>
      </c>
      <c r="B82" s="80" t="s">
        <v>239</v>
      </c>
      <c r="C82" s="77">
        <f>VLOOKUP("~"&amp;GroupVertices[[#This Row],[Vertex]],Vertices[],MATCH("ID",Vertices[[#Headers],[Vertex]:[Top Word Pairs in Description by Salience]],0),FALSE)</f>
        <v>46</v>
      </c>
    </row>
    <row r="83" spans="1:3" ht="15">
      <c r="A83" s="78" t="s">
        <v>2188</v>
      </c>
      <c r="B83" s="80" t="s">
        <v>237</v>
      </c>
      <c r="C83" s="77">
        <f>VLOOKUP("~"&amp;GroupVertices[[#This Row],[Vertex]],Vertices[],MATCH("ID",Vertices[[#Headers],[Vertex]:[Top Word Pairs in Description by Salience]],0),FALSE)</f>
        <v>16</v>
      </c>
    </row>
    <row r="84" spans="1:3" ht="15">
      <c r="A84" s="78" t="s">
        <v>2188</v>
      </c>
      <c r="B84" s="80" t="s">
        <v>238</v>
      </c>
      <c r="C84" s="77">
        <f>VLOOKUP("~"&amp;GroupVertices[[#This Row],[Vertex]],Vertices[],MATCH("ID",Vertices[[#Headers],[Vertex]:[Top Word Pairs in Description by Salience]],0),FALSE)</f>
        <v>40</v>
      </c>
    </row>
    <row r="85" spans="1:3" ht="15">
      <c r="A85" s="78" t="s">
        <v>2188</v>
      </c>
      <c r="B85" s="80" t="s">
        <v>236</v>
      </c>
      <c r="C85" s="77">
        <f>VLOOKUP("~"&amp;GroupVertices[[#This Row],[Vertex]],Vertices[],MATCH("ID",Vertices[[#Headers],[Vertex]:[Top Word Pairs in Description by Salience]],0),FALSE)</f>
        <v>51</v>
      </c>
    </row>
    <row r="86" spans="1:3" ht="15">
      <c r="A86" s="78" t="s">
        <v>2188</v>
      </c>
      <c r="B86" s="80" t="s">
        <v>224</v>
      </c>
      <c r="C86" s="77">
        <f>VLOOKUP("~"&amp;GroupVertices[[#This Row],[Vertex]],Vertices[],MATCH("ID",Vertices[[#Headers],[Vertex]:[Top Word Pairs in Description by Salience]],0),FALSE)</f>
        <v>24</v>
      </c>
    </row>
    <row r="87" spans="1:3" ht="15">
      <c r="A87" s="78" t="s">
        <v>2188</v>
      </c>
      <c r="B87" s="80" t="s">
        <v>292</v>
      </c>
      <c r="C87" s="77">
        <f>VLOOKUP("~"&amp;GroupVertices[[#This Row],[Vertex]],Vertices[],MATCH("ID",Vertices[[#Headers],[Vertex]:[Top Word Pairs in Description by Salience]],0),FALSE)</f>
        <v>74</v>
      </c>
    </row>
    <row r="88" spans="1:3" ht="15">
      <c r="A88" s="78" t="s">
        <v>2188</v>
      </c>
      <c r="B88" s="80" t="s">
        <v>291</v>
      </c>
      <c r="C88" s="77">
        <f>VLOOKUP("~"&amp;GroupVertices[[#This Row],[Vertex]],Vertices[],MATCH("ID",Vertices[[#Headers],[Vertex]:[Top Word Pairs in Description by Salience]],0),FALSE)</f>
        <v>10</v>
      </c>
    </row>
    <row r="89" spans="1:3" ht="15">
      <c r="A89" s="78" t="s">
        <v>2188</v>
      </c>
      <c r="B89" s="80" t="s">
        <v>222</v>
      </c>
      <c r="C89" s="77">
        <f>VLOOKUP("~"&amp;GroupVertices[[#This Row],[Vertex]],Vertices[],MATCH("ID",Vertices[[#Headers],[Vertex]:[Top Word Pairs in Description by Salience]],0),FALSE)</f>
        <v>70</v>
      </c>
    </row>
    <row r="90" spans="1:3" ht="15">
      <c r="A90" s="78" t="s">
        <v>2189</v>
      </c>
      <c r="B90" s="80" t="s">
        <v>283</v>
      </c>
      <c r="C90" s="77">
        <f>VLOOKUP("~"&amp;GroupVertices[[#This Row],[Vertex]],Vertices[],MATCH("ID",Vertices[[#Headers],[Vertex]:[Top Word Pairs in Description by Salience]],0),FALSE)</f>
        <v>83</v>
      </c>
    </row>
    <row r="91" spans="1:3" ht="15">
      <c r="A91" s="78" t="s">
        <v>2189</v>
      </c>
      <c r="B91" s="80" t="s">
        <v>273</v>
      </c>
      <c r="C91" s="77">
        <f>VLOOKUP("~"&amp;GroupVertices[[#This Row],[Vertex]],Vertices[],MATCH("ID",Vertices[[#Headers],[Vertex]:[Top Word Pairs in Description by Salience]],0),FALSE)</f>
        <v>14</v>
      </c>
    </row>
    <row r="92" spans="1:3" ht="15">
      <c r="A92" s="78" t="s">
        <v>2189</v>
      </c>
      <c r="B92" s="80" t="s">
        <v>268</v>
      </c>
      <c r="C92" s="77">
        <f>VLOOKUP("~"&amp;GroupVertices[[#This Row],[Vertex]],Vertices[],MATCH("ID",Vertices[[#Headers],[Vertex]:[Top Word Pairs in Description by Salience]],0),FALSE)</f>
        <v>12</v>
      </c>
    </row>
    <row r="93" spans="1:3" ht="15">
      <c r="A93" s="78" t="s">
        <v>2189</v>
      </c>
      <c r="B93" s="80" t="s">
        <v>301</v>
      </c>
      <c r="C93" s="77">
        <f>VLOOKUP("~"&amp;GroupVertices[[#This Row],[Vertex]],Vertices[],MATCH("ID",Vertices[[#Headers],[Vertex]:[Top Word Pairs in Description by Salience]],0),FALSE)</f>
        <v>80</v>
      </c>
    </row>
    <row r="94" spans="1:3" ht="15">
      <c r="A94" s="78" t="s">
        <v>2189</v>
      </c>
      <c r="B94" s="80" t="s">
        <v>274</v>
      </c>
      <c r="C94" s="77">
        <f>VLOOKUP("~"&amp;GroupVertices[[#This Row],[Vertex]],Vertices[],MATCH("ID",Vertices[[#Headers],[Vertex]:[Top Word Pairs in Description by Salience]],0),FALSE)</f>
        <v>68</v>
      </c>
    </row>
    <row r="95" spans="1:3" ht="15">
      <c r="A95" s="78" t="s">
        <v>2190</v>
      </c>
      <c r="B95" s="80" t="s">
        <v>231</v>
      </c>
      <c r="C95" s="77">
        <f>VLOOKUP("~"&amp;GroupVertices[[#This Row],[Vertex]],Vertices[],MATCH("ID",Vertices[[#Headers],[Vertex]:[Top Word Pairs in Description by Salience]],0),FALSE)</f>
        <v>11</v>
      </c>
    </row>
    <row r="96" spans="1:3" ht="15">
      <c r="A96" s="78" t="s">
        <v>2190</v>
      </c>
      <c r="B96" s="80" t="s">
        <v>232</v>
      </c>
      <c r="C96" s="77">
        <f>VLOOKUP("~"&amp;GroupVertices[[#This Row],[Vertex]],Vertices[],MATCH("ID",Vertices[[#Headers],[Vertex]:[Top Word Pairs in Description by Salience]],0),FALSE)</f>
        <v>78</v>
      </c>
    </row>
    <row r="97" spans="1:3" ht="15">
      <c r="A97" s="78" t="s">
        <v>2190</v>
      </c>
      <c r="B97" s="80" t="s">
        <v>296</v>
      </c>
      <c r="C97" s="77">
        <f>VLOOKUP("~"&amp;GroupVertices[[#This Row],[Vertex]],Vertices[],MATCH("ID",Vertices[[#Headers],[Vertex]:[Top Word Pairs in Description by Salience]],0),FALSE)</f>
        <v>77</v>
      </c>
    </row>
    <row r="98" spans="1:3" ht="15">
      <c r="A98" s="78" t="s">
        <v>2191</v>
      </c>
      <c r="B98" s="80" t="s">
        <v>262</v>
      </c>
      <c r="C98" s="77">
        <f>VLOOKUP("~"&amp;GroupVertices[[#This Row],[Vertex]],Vertices[],MATCH("ID",Vertices[[#Headers],[Vertex]:[Top Word Pairs in Description by Salience]],0),FALSE)</f>
        <v>62</v>
      </c>
    </row>
    <row r="99" spans="1:3" ht="15">
      <c r="A99" s="78" t="s">
        <v>2191</v>
      </c>
      <c r="B99" s="80" t="s">
        <v>297</v>
      </c>
      <c r="C99" s="77">
        <f>VLOOKUP("~"&amp;GroupVertices[[#This Row],[Vertex]],Vertices[],MATCH("ID",Vertices[[#Headers],[Vertex]:[Top Word Pairs in Description by Salience]],0),FALSE)</f>
        <v>60</v>
      </c>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3397</v>
      </c>
      <c r="B2" s="31" t="s">
        <v>191</v>
      </c>
      <c r="D2" s="29">
        <f>MIN(Vertices[Degree])</f>
        <v>0</v>
      </c>
      <c r="E2">
        <f>COUNTIF(Vertices[Degree],"&gt;= "&amp;D2)-COUNTIF(Vertices[Degree],"&gt;="&amp;D3)</f>
        <v>0</v>
      </c>
      <c r="F2" s="34">
        <f>MIN(Vertices[In-Degree])</f>
        <v>0</v>
      </c>
      <c r="G2" s="35">
        <f>COUNTIF(Vertices[In-Degree],"&gt;= "&amp;F2)-COUNTIF(Vertices[In-Degree],"&gt;="&amp;F3)</f>
        <v>27</v>
      </c>
      <c r="H2" s="34">
        <f>MIN(Vertices[Out-Degree])</f>
        <v>0</v>
      </c>
      <c r="I2" s="35">
        <f>COUNTIF(Vertices[Out-Degree],"&gt;= "&amp;H2)-COUNTIF(Vertices[Out-Degree],"&gt;="&amp;H3)</f>
        <v>29</v>
      </c>
      <c r="J2" s="34">
        <f>MIN(Vertices[Betweenness Centrality])</f>
        <v>0</v>
      </c>
      <c r="K2" s="35">
        <f>COUNTIF(Vertices[Betweenness Centrality],"&gt;= "&amp;J2)-COUNTIF(Vertices[Betweenness Centrality],"&gt;="&amp;J3)</f>
        <v>49</v>
      </c>
      <c r="L2" s="34">
        <f>MIN(Vertices[Closeness Centrality])</f>
        <v>0</v>
      </c>
      <c r="M2" s="35">
        <f>COUNTIF(Vertices[Closeness Centrality],"&gt;= "&amp;L2)-COUNTIF(Vertices[Closeness Centrality],"&gt;="&amp;L3)</f>
        <v>15</v>
      </c>
      <c r="N2" s="34">
        <f>MIN(Vertices[Eigenvector Centrality])</f>
        <v>0</v>
      </c>
      <c r="O2" s="35">
        <f>COUNTIF(Vertices[Eigenvector Centrality],"&gt;= "&amp;N2)-COUNTIF(Vertices[Eigenvector Centrality],"&gt;="&amp;N3)</f>
        <v>25</v>
      </c>
      <c r="P2" s="34">
        <f>MIN(Vertices[PageRank])</f>
        <v>0</v>
      </c>
      <c r="Q2" s="35">
        <f>COUNTIF(Vertices[PageRank],"&gt;= "&amp;P2)-COUNTIF(Vertices[PageRank],"&gt;="&amp;P3)</f>
        <v>15</v>
      </c>
      <c r="R2" s="34">
        <f>MIN(Vertices[Clustering Coefficient])</f>
        <v>0</v>
      </c>
      <c r="S2" s="40">
        <f>COUNTIF(Vertices[Clustering Coefficient],"&gt;= "&amp;R2)-COUNTIF(Vertices[Clustering Coefficient],"&gt;="&amp;R3)</f>
        <v>27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9"/>
      <c r="B3" s="109"/>
      <c r="D3" s="29">
        <f aca="true" t="shared" si="1" ref="D3:D35">D2+($D$36-$D$2)/BinDivisor</f>
        <v>0</v>
      </c>
      <c r="E3">
        <f>COUNTIF(Vertices[Degree],"&gt;= "&amp;D3)-COUNTIF(Vertices[Degree],"&gt;="&amp;D4)</f>
        <v>0</v>
      </c>
      <c r="F3" s="36">
        <f aca="true" t="shared" si="2" ref="F3:F35">F2+($F$36-$F$2)/BinDivisor</f>
        <v>0.7058823529411765</v>
      </c>
      <c r="G3" s="37">
        <f>COUNTIF(Vertices[In-Degree],"&gt;= "&amp;F3)-COUNTIF(Vertices[In-Degree],"&gt;="&amp;F4)</f>
        <v>10</v>
      </c>
      <c r="H3" s="36">
        <f aca="true" t="shared" si="3" ref="H3:H35">H2+($H$36-$H$2)/BinDivisor</f>
        <v>0.7058823529411765</v>
      </c>
      <c r="I3" s="37">
        <f>COUNTIF(Vertices[Out-Degree],"&gt;= "&amp;H3)-COUNTIF(Vertices[Out-Degree],"&gt;="&amp;H4)</f>
        <v>10</v>
      </c>
      <c r="J3" s="36">
        <f aca="true" t="shared" si="4" ref="J3:J35">J2+($J$36-$J$2)/BinDivisor</f>
        <v>26.96207144117647</v>
      </c>
      <c r="K3" s="37">
        <f>COUNTIF(Vertices[Betweenness Centrality],"&gt;= "&amp;J3)-COUNTIF(Vertices[Betweenness Centrality],"&gt;="&amp;J4)</f>
        <v>6</v>
      </c>
      <c r="L3" s="36">
        <f aca="true" t="shared" si="5" ref="L3:L35">L2+($L$36-$L$2)/BinDivisor</f>
        <v>0.017350823529411766</v>
      </c>
      <c r="M3" s="37">
        <f>COUNTIF(Vertices[Closeness Centrality],"&gt;= "&amp;L3)-COUNTIF(Vertices[Closeness Centrality],"&gt;="&amp;L4)</f>
        <v>0</v>
      </c>
      <c r="N3" s="36">
        <f aca="true" t="shared" si="6" ref="N3:N35">N2+($N$36-$N$2)/BinDivisor</f>
        <v>0.008102058823529412</v>
      </c>
      <c r="O3" s="37">
        <f>COUNTIF(Vertices[Eigenvector Centrality],"&gt;= "&amp;N3)-COUNTIF(Vertices[Eigenvector Centrality],"&gt;="&amp;N4)</f>
        <v>4</v>
      </c>
      <c r="P3" s="36">
        <f aca="true" t="shared" si="7" ref="P3:P35">P2+($P$36-$P$2)/BinDivisor</f>
        <v>0.00046041176470588236</v>
      </c>
      <c r="Q3" s="37">
        <f>COUNTIF(Vertices[PageRank],"&gt;= "&amp;P3)-COUNTIF(Vertices[PageRank],"&gt;="&amp;P4)</f>
        <v>0</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98</v>
      </c>
      <c r="D4" s="29">
        <f t="shared" si="1"/>
        <v>0</v>
      </c>
      <c r="E4">
        <f>COUNTIF(Vertices[Degree],"&gt;= "&amp;D4)-COUNTIF(Vertices[Degree],"&gt;="&amp;D5)</f>
        <v>0</v>
      </c>
      <c r="F4" s="34">
        <f t="shared" si="2"/>
        <v>1.411764705882353</v>
      </c>
      <c r="G4" s="35">
        <f>COUNTIF(Vertices[In-Degree],"&gt;= "&amp;F4)-COUNTIF(Vertices[In-Degree],"&gt;="&amp;F5)</f>
        <v>13</v>
      </c>
      <c r="H4" s="34">
        <f t="shared" si="3"/>
        <v>1.411764705882353</v>
      </c>
      <c r="I4" s="35">
        <f>COUNTIF(Vertices[Out-Degree],"&gt;= "&amp;H4)-COUNTIF(Vertices[Out-Degree],"&gt;="&amp;H5)</f>
        <v>11</v>
      </c>
      <c r="J4" s="34">
        <f t="shared" si="4"/>
        <v>53.92414288235294</v>
      </c>
      <c r="K4" s="35">
        <f>COUNTIF(Vertices[Betweenness Centrality],"&gt;= "&amp;J4)-COUNTIF(Vertices[Betweenness Centrality],"&gt;="&amp;J5)</f>
        <v>2</v>
      </c>
      <c r="L4" s="34">
        <f t="shared" si="5"/>
        <v>0.03470164705882353</v>
      </c>
      <c r="M4" s="35">
        <f>COUNTIF(Vertices[Closeness Centrality],"&gt;= "&amp;L4)-COUNTIF(Vertices[Closeness Centrality],"&gt;="&amp;L5)</f>
        <v>0</v>
      </c>
      <c r="N4" s="34">
        <f t="shared" si="6"/>
        <v>0.016204117647058824</v>
      </c>
      <c r="O4" s="35">
        <f>COUNTIF(Vertices[Eigenvector Centrality],"&gt;= "&amp;N4)-COUNTIF(Vertices[Eigenvector Centrality],"&gt;="&amp;N5)</f>
        <v>6</v>
      </c>
      <c r="P4" s="34">
        <f t="shared" si="7"/>
        <v>0.0009208235294117647</v>
      </c>
      <c r="Q4" s="35">
        <f>COUNTIF(Vertices[PageRank],"&gt;= "&amp;P4)-COUNTIF(Vertices[PageRank],"&gt;="&amp;P5)</f>
        <v>0</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09"/>
      <c r="B5" s="109"/>
      <c r="D5" s="29">
        <f t="shared" si="1"/>
        <v>0</v>
      </c>
      <c r="E5">
        <f>COUNTIF(Vertices[Degree],"&gt;= "&amp;D5)-COUNTIF(Vertices[Degree],"&gt;="&amp;D6)</f>
        <v>0</v>
      </c>
      <c r="F5" s="36">
        <f t="shared" si="2"/>
        <v>2.1176470588235294</v>
      </c>
      <c r="G5" s="37">
        <f>COUNTIF(Vertices[In-Degree],"&gt;= "&amp;F5)-COUNTIF(Vertices[In-Degree],"&gt;="&amp;F6)</f>
        <v>0</v>
      </c>
      <c r="H5" s="36">
        <f t="shared" si="3"/>
        <v>2.1176470588235294</v>
      </c>
      <c r="I5" s="37">
        <f>COUNTIF(Vertices[Out-Degree],"&gt;= "&amp;H5)-COUNTIF(Vertices[Out-Degree],"&gt;="&amp;H6)</f>
        <v>0</v>
      </c>
      <c r="J5" s="36">
        <f t="shared" si="4"/>
        <v>80.8862143235294</v>
      </c>
      <c r="K5" s="37">
        <f>COUNTIF(Vertices[Betweenness Centrality],"&gt;= "&amp;J5)-COUNTIF(Vertices[Betweenness Centrality],"&gt;="&amp;J6)</f>
        <v>11</v>
      </c>
      <c r="L5" s="36">
        <f t="shared" si="5"/>
        <v>0.0520524705882353</v>
      </c>
      <c r="M5" s="37">
        <f>COUNTIF(Vertices[Closeness Centrality],"&gt;= "&amp;L5)-COUNTIF(Vertices[Closeness Centrality],"&gt;="&amp;L6)</f>
        <v>0</v>
      </c>
      <c r="N5" s="36">
        <f t="shared" si="6"/>
        <v>0.024306176470588234</v>
      </c>
      <c r="O5" s="37">
        <f>COUNTIF(Vertices[Eigenvector Centrality],"&gt;= "&amp;N5)-COUNTIF(Vertices[Eigenvector Centrality],"&gt;="&amp;N6)</f>
        <v>5</v>
      </c>
      <c r="P5" s="36">
        <f t="shared" si="7"/>
        <v>0.001381235294117647</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252</v>
      </c>
      <c r="D6" s="29">
        <f t="shared" si="1"/>
        <v>0</v>
      </c>
      <c r="E6">
        <f>COUNTIF(Vertices[Degree],"&gt;= "&amp;D6)-COUNTIF(Vertices[Degree],"&gt;="&amp;D7)</f>
        <v>0</v>
      </c>
      <c r="F6" s="34">
        <f t="shared" si="2"/>
        <v>2.823529411764706</v>
      </c>
      <c r="G6" s="35">
        <f>COUNTIF(Vertices[In-Degree],"&gt;= "&amp;F6)-COUNTIF(Vertices[In-Degree],"&gt;="&amp;F7)</f>
        <v>7</v>
      </c>
      <c r="H6" s="34">
        <f t="shared" si="3"/>
        <v>2.823529411764706</v>
      </c>
      <c r="I6" s="35">
        <f>COUNTIF(Vertices[Out-Degree],"&gt;= "&amp;H6)-COUNTIF(Vertices[Out-Degree],"&gt;="&amp;H7)</f>
        <v>5</v>
      </c>
      <c r="J6" s="34">
        <f t="shared" si="4"/>
        <v>107.84828576470588</v>
      </c>
      <c r="K6" s="35">
        <f>COUNTIF(Vertices[Betweenness Centrality],"&gt;= "&amp;J6)-COUNTIF(Vertices[Betweenness Centrality],"&gt;="&amp;J7)</f>
        <v>4</v>
      </c>
      <c r="L6" s="34">
        <f t="shared" si="5"/>
        <v>0.06940329411764706</v>
      </c>
      <c r="M6" s="35">
        <f>COUNTIF(Vertices[Closeness Centrality],"&gt;= "&amp;L6)-COUNTIF(Vertices[Closeness Centrality],"&gt;="&amp;L7)</f>
        <v>0</v>
      </c>
      <c r="N6" s="34">
        <f t="shared" si="6"/>
        <v>0.03240823529411765</v>
      </c>
      <c r="O6" s="35">
        <f>COUNTIF(Vertices[Eigenvector Centrality],"&gt;= "&amp;N6)-COUNTIF(Vertices[Eigenvector Centrality],"&gt;="&amp;N7)</f>
        <v>3</v>
      </c>
      <c r="P6" s="34">
        <f t="shared" si="7"/>
        <v>0.0018416470588235295</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962</v>
      </c>
      <c r="D7" s="29">
        <f t="shared" si="1"/>
        <v>0</v>
      </c>
      <c r="E7">
        <f>COUNTIF(Vertices[Degree],"&gt;= "&amp;D7)-COUNTIF(Vertices[Degree],"&gt;="&amp;D8)</f>
        <v>0</v>
      </c>
      <c r="F7" s="36">
        <f t="shared" si="2"/>
        <v>3.5294117647058827</v>
      </c>
      <c r="G7" s="37">
        <f>COUNTIF(Vertices[In-Degree],"&gt;= "&amp;F7)-COUNTIF(Vertices[In-Degree],"&gt;="&amp;F8)</f>
        <v>4</v>
      </c>
      <c r="H7" s="36">
        <f t="shared" si="3"/>
        <v>3.5294117647058827</v>
      </c>
      <c r="I7" s="37">
        <f>COUNTIF(Vertices[Out-Degree],"&gt;= "&amp;H7)-COUNTIF(Vertices[Out-Degree],"&gt;="&amp;H8)</f>
        <v>4</v>
      </c>
      <c r="J7" s="36">
        <f t="shared" si="4"/>
        <v>134.81035720588235</v>
      </c>
      <c r="K7" s="37">
        <f>COUNTIF(Vertices[Betweenness Centrality],"&gt;= "&amp;J7)-COUNTIF(Vertices[Betweenness Centrality],"&gt;="&amp;J8)</f>
        <v>3</v>
      </c>
      <c r="L7" s="36">
        <f t="shared" si="5"/>
        <v>0.08675411764705883</v>
      </c>
      <c r="M7" s="37">
        <f>COUNTIF(Vertices[Closeness Centrality],"&gt;= "&amp;L7)-COUNTIF(Vertices[Closeness Centrality],"&gt;="&amp;L8)</f>
        <v>0</v>
      </c>
      <c r="N7" s="36">
        <f t="shared" si="6"/>
        <v>0.04051029411764706</v>
      </c>
      <c r="O7" s="37">
        <f>COUNTIF(Vertices[Eigenvector Centrality],"&gt;= "&amp;N7)-COUNTIF(Vertices[Eigenvector Centrality],"&gt;="&amp;N8)</f>
        <v>3</v>
      </c>
      <c r="P7" s="36">
        <f t="shared" si="7"/>
        <v>0.002302058823529412</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1214</v>
      </c>
      <c r="D8" s="29">
        <f t="shared" si="1"/>
        <v>0</v>
      </c>
      <c r="E8">
        <f>COUNTIF(Vertices[Degree],"&gt;= "&amp;D8)-COUNTIF(Vertices[Degree],"&gt;="&amp;D9)</f>
        <v>0</v>
      </c>
      <c r="F8" s="34">
        <f t="shared" si="2"/>
        <v>4.235294117647059</v>
      </c>
      <c r="G8" s="35">
        <f>COUNTIF(Vertices[In-Degree],"&gt;= "&amp;F8)-COUNTIF(Vertices[In-Degree],"&gt;="&amp;F9)</f>
        <v>0</v>
      </c>
      <c r="H8" s="34">
        <f t="shared" si="3"/>
        <v>4.235294117647059</v>
      </c>
      <c r="I8" s="35">
        <f>COUNTIF(Vertices[Out-Degree],"&gt;= "&amp;H8)-COUNTIF(Vertices[Out-Degree],"&gt;="&amp;H9)</f>
        <v>0</v>
      </c>
      <c r="J8" s="34">
        <f t="shared" si="4"/>
        <v>161.77242864705883</v>
      </c>
      <c r="K8" s="35">
        <f>COUNTIF(Vertices[Betweenness Centrality],"&gt;= "&amp;J8)-COUNTIF(Vertices[Betweenness Centrality],"&gt;="&amp;J9)</f>
        <v>3</v>
      </c>
      <c r="L8" s="34">
        <f t="shared" si="5"/>
        <v>0.1041049411764706</v>
      </c>
      <c r="M8" s="35">
        <f>COUNTIF(Vertices[Closeness Centrality],"&gt;= "&amp;L8)-COUNTIF(Vertices[Closeness Centrality],"&gt;="&amp;L9)</f>
        <v>0</v>
      </c>
      <c r="N8" s="34">
        <f t="shared" si="6"/>
        <v>0.048612352941176475</v>
      </c>
      <c r="O8" s="35">
        <f>COUNTIF(Vertices[Eigenvector Centrality],"&gt;= "&amp;N8)-COUNTIF(Vertices[Eigenvector Centrality],"&gt;="&amp;N9)</f>
        <v>2</v>
      </c>
      <c r="P8" s="34">
        <f t="shared" si="7"/>
        <v>0.002762470588235294</v>
      </c>
      <c r="Q8" s="35">
        <f>COUNTIF(Vertices[PageRank],"&gt;= "&amp;P8)-COUNTIF(Vertices[PageRank],"&gt;="&amp;P9)</f>
        <v>0</v>
      </c>
      <c r="R8" s="34">
        <f t="shared" si="8"/>
        <v>0.08823529411764706</v>
      </c>
      <c r="S8" s="40">
        <f>COUNTIF(Vertices[Clustering Coefficient],"&gt;= "&amp;R8)-COUNTIF(Vertices[Clustering Coefficient],"&gt;="&amp;R9)</f>
        <v>1</v>
      </c>
      <c r="T8" s="34" t="e">
        <f ca="1" t="shared" si="9"/>
        <v>#REF!</v>
      </c>
      <c r="U8" s="35" t="e">
        <f ca="1" t="shared" si="0"/>
        <v>#REF!</v>
      </c>
    </row>
    <row r="9" spans="1:21" ht="15">
      <c r="A9" s="109"/>
      <c r="B9" s="109"/>
      <c r="D9" s="29">
        <f t="shared" si="1"/>
        <v>0</v>
      </c>
      <c r="E9">
        <f>COUNTIF(Vertices[Degree],"&gt;= "&amp;D9)-COUNTIF(Vertices[Degree],"&gt;="&amp;D10)</f>
        <v>0</v>
      </c>
      <c r="F9" s="36">
        <f t="shared" si="2"/>
        <v>4.9411764705882355</v>
      </c>
      <c r="G9" s="37">
        <f>COUNTIF(Vertices[In-Degree],"&gt;= "&amp;F9)-COUNTIF(Vertices[In-Degree],"&gt;="&amp;F10)</f>
        <v>5</v>
      </c>
      <c r="H9" s="36">
        <f t="shared" si="3"/>
        <v>4.9411764705882355</v>
      </c>
      <c r="I9" s="37">
        <f>COUNTIF(Vertices[Out-Degree],"&gt;= "&amp;H9)-COUNTIF(Vertices[Out-Degree],"&gt;="&amp;H10)</f>
        <v>5</v>
      </c>
      <c r="J9" s="36">
        <f t="shared" si="4"/>
        <v>188.7345000882353</v>
      </c>
      <c r="K9" s="37">
        <f>COUNTIF(Vertices[Betweenness Centrality],"&gt;= "&amp;J9)-COUNTIF(Vertices[Betweenness Centrality],"&gt;="&amp;J10)</f>
        <v>2</v>
      </c>
      <c r="L9" s="36">
        <f t="shared" si="5"/>
        <v>0.12145576470588236</v>
      </c>
      <c r="M9" s="37">
        <f>COUNTIF(Vertices[Closeness Centrality],"&gt;= "&amp;L9)-COUNTIF(Vertices[Closeness Centrality],"&gt;="&amp;L10)</f>
        <v>0</v>
      </c>
      <c r="N9" s="36">
        <f t="shared" si="6"/>
        <v>0.05671441176470589</v>
      </c>
      <c r="O9" s="37">
        <f>COUNTIF(Vertices[Eigenvector Centrality],"&gt;= "&amp;N9)-COUNTIF(Vertices[Eigenvector Centrality],"&gt;="&amp;N10)</f>
        <v>4</v>
      </c>
      <c r="P9" s="36">
        <f t="shared" si="7"/>
        <v>0.0032228823529411765</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151</v>
      </c>
      <c r="B10" s="31">
        <v>0</v>
      </c>
      <c r="D10" s="29">
        <f t="shared" si="1"/>
        <v>0</v>
      </c>
      <c r="E10">
        <f>COUNTIF(Vertices[Degree],"&gt;= "&amp;D10)-COUNTIF(Vertices[Degree],"&gt;="&amp;D11)</f>
        <v>0</v>
      </c>
      <c r="F10" s="34">
        <f t="shared" si="2"/>
        <v>5.647058823529412</v>
      </c>
      <c r="G10" s="35">
        <f>COUNTIF(Vertices[In-Degree],"&gt;= "&amp;F10)-COUNTIF(Vertices[In-Degree],"&gt;="&amp;F11)</f>
        <v>1</v>
      </c>
      <c r="H10" s="34">
        <f t="shared" si="3"/>
        <v>5.647058823529412</v>
      </c>
      <c r="I10" s="35">
        <f>COUNTIF(Vertices[Out-Degree],"&gt;= "&amp;H10)-COUNTIF(Vertices[Out-Degree],"&gt;="&amp;H11)</f>
        <v>6</v>
      </c>
      <c r="J10" s="34">
        <f t="shared" si="4"/>
        <v>215.69657152941178</v>
      </c>
      <c r="K10" s="35">
        <f>COUNTIF(Vertices[Betweenness Centrality],"&gt;= "&amp;J10)-COUNTIF(Vertices[Betweenness Centrality],"&gt;="&amp;J11)</f>
        <v>2</v>
      </c>
      <c r="L10" s="34">
        <f t="shared" si="5"/>
        <v>0.13880658823529413</v>
      </c>
      <c r="M10" s="35">
        <f>COUNTIF(Vertices[Closeness Centrality],"&gt;= "&amp;L10)-COUNTIF(Vertices[Closeness Centrality],"&gt;="&amp;L11)</f>
        <v>0</v>
      </c>
      <c r="N10" s="34">
        <f t="shared" si="6"/>
        <v>0.0648164705882353</v>
      </c>
      <c r="O10" s="35">
        <f>COUNTIF(Vertices[Eigenvector Centrality],"&gt;= "&amp;N10)-COUNTIF(Vertices[Eigenvector Centrality],"&gt;="&amp;N11)</f>
        <v>6</v>
      </c>
      <c r="P10" s="34">
        <f t="shared" si="7"/>
        <v>0.003683294117647059</v>
      </c>
      <c r="Q10" s="35">
        <f>COUNTIF(Vertices[PageRank],"&gt;= "&amp;P10)-COUNTIF(Vertices[PageRank],"&gt;="&amp;P11)</f>
        <v>0</v>
      </c>
      <c r="R10" s="34">
        <f t="shared" si="8"/>
        <v>0.11764705882352942</v>
      </c>
      <c r="S10" s="40">
        <f>COUNTIF(Vertices[Clustering Coefficient],"&gt;= "&amp;R10)-COUNTIF(Vertices[Clustering Coefficient],"&gt;="&amp;R11)</f>
        <v>1</v>
      </c>
      <c r="T10" s="34" t="e">
        <f ca="1" t="shared" si="9"/>
        <v>#REF!</v>
      </c>
      <c r="U10" s="35" t="e">
        <f ca="1" t="shared" si="0"/>
        <v>#REF!</v>
      </c>
    </row>
    <row r="11" spans="1:21" ht="15">
      <c r="A11" s="109"/>
      <c r="B11" s="109"/>
      <c r="D11" s="29">
        <f t="shared" si="1"/>
        <v>0</v>
      </c>
      <c r="E11">
        <f>COUNTIF(Vertices[Degree],"&gt;= "&amp;D11)-COUNTIF(Vertices[Degree],"&gt;="&amp;D12)</f>
        <v>0</v>
      </c>
      <c r="F11" s="36">
        <f t="shared" si="2"/>
        <v>6.352941176470589</v>
      </c>
      <c r="G11" s="37">
        <f>COUNTIF(Vertices[In-Degree],"&gt;= "&amp;F11)-COUNTIF(Vertices[In-Degree],"&gt;="&amp;F12)</f>
        <v>5</v>
      </c>
      <c r="H11" s="36">
        <f t="shared" si="3"/>
        <v>6.352941176470589</v>
      </c>
      <c r="I11" s="37">
        <f>COUNTIF(Vertices[Out-Degree],"&gt;= "&amp;H11)-COUNTIF(Vertices[Out-Degree],"&gt;="&amp;H12)</f>
        <v>6</v>
      </c>
      <c r="J11" s="36">
        <f t="shared" si="4"/>
        <v>242.65864297058826</v>
      </c>
      <c r="K11" s="37">
        <f>COUNTIF(Vertices[Betweenness Centrality],"&gt;= "&amp;J11)-COUNTIF(Vertices[Betweenness Centrality],"&gt;="&amp;J12)</f>
        <v>5</v>
      </c>
      <c r="L11" s="36">
        <f t="shared" si="5"/>
        <v>0.15615741176470588</v>
      </c>
      <c r="M11" s="37">
        <f>COUNTIF(Vertices[Closeness Centrality],"&gt;= "&amp;L11)-COUNTIF(Vertices[Closeness Centrality],"&gt;="&amp;L12)</f>
        <v>0</v>
      </c>
      <c r="N11" s="36">
        <f t="shared" si="6"/>
        <v>0.0729185294117647</v>
      </c>
      <c r="O11" s="37">
        <f>COUNTIF(Vertices[Eigenvector Centrality],"&gt;= "&amp;N11)-COUNTIF(Vertices[Eigenvector Centrality],"&gt;="&amp;N12)</f>
        <v>3</v>
      </c>
      <c r="P11" s="36">
        <f t="shared" si="7"/>
        <v>0.004143705882352942</v>
      </c>
      <c r="Q11" s="37">
        <f>COUNTIF(Vertices[PageRank],"&gt;= "&amp;P11)-COUNTIF(Vertices[PageRank],"&gt;="&amp;P12)</f>
        <v>0</v>
      </c>
      <c r="R11" s="36">
        <f t="shared" si="8"/>
        <v>0.1323529411764706</v>
      </c>
      <c r="S11" s="41">
        <f>COUNTIF(Vertices[Clustering Coefficient],"&gt;= "&amp;R11)-COUNTIF(Vertices[Clustering Coefficient],"&gt;="&amp;R12)</f>
        <v>3</v>
      </c>
      <c r="T11" s="36" t="e">
        <f ca="1" t="shared" si="9"/>
        <v>#REF!</v>
      </c>
      <c r="U11" s="37" t="e">
        <f ca="1" t="shared" si="0"/>
        <v>#REF!</v>
      </c>
    </row>
    <row r="12" spans="1:21" ht="15">
      <c r="A12" s="31" t="s">
        <v>170</v>
      </c>
      <c r="B12" s="31">
        <v>0</v>
      </c>
      <c r="D12" s="29">
        <f t="shared" si="1"/>
        <v>0</v>
      </c>
      <c r="E12">
        <f>COUNTIF(Vertices[Degree],"&gt;= "&amp;D12)-COUNTIF(Vertices[Degree],"&gt;="&amp;D13)</f>
        <v>0</v>
      </c>
      <c r="F12" s="34">
        <f t="shared" si="2"/>
        <v>7.058823529411765</v>
      </c>
      <c r="G12" s="35">
        <f>COUNTIF(Vertices[In-Degree],"&gt;= "&amp;F12)-COUNTIF(Vertices[In-Degree],"&gt;="&amp;F13)</f>
        <v>0</v>
      </c>
      <c r="H12" s="34">
        <f t="shared" si="3"/>
        <v>7.058823529411765</v>
      </c>
      <c r="I12" s="35">
        <f>COUNTIF(Vertices[Out-Degree],"&gt;= "&amp;H12)-COUNTIF(Vertices[Out-Degree],"&gt;="&amp;H13)</f>
        <v>0</v>
      </c>
      <c r="J12" s="34">
        <f t="shared" si="4"/>
        <v>269.6207144117647</v>
      </c>
      <c r="K12" s="35">
        <f>COUNTIF(Vertices[Betweenness Centrality],"&gt;= "&amp;J12)-COUNTIF(Vertices[Betweenness Centrality],"&gt;="&amp;J13)</f>
        <v>2</v>
      </c>
      <c r="L12" s="34">
        <f t="shared" si="5"/>
        <v>0.17350823529411763</v>
      </c>
      <c r="M12" s="35">
        <f>COUNTIF(Vertices[Closeness Centrality],"&gt;= "&amp;L12)-COUNTIF(Vertices[Closeness Centrality],"&gt;="&amp;L13)</f>
        <v>0</v>
      </c>
      <c r="N12" s="34">
        <f t="shared" si="6"/>
        <v>0.08102058823529411</v>
      </c>
      <c r="O12" s="35">
        <f>COUNTIF(Vertices[Eigenvector Centrality],"&gt;= "&amp;N12)-COUNTIF(Vertices[Eigenvector Centrality],"&gt;="&amp;N13)</f>
        <v>2</v>
      </c>
      <c r="P12" s="34">
        <f t="shared" si="7"/>
        <v>0.0046041176470588245</v>
      </c>
      <c r="Q12" s="35">
        <f>COUNTIF(Vertices[PageRank],"&gt;= "&amp;P12)-COUNTIF(Vertices[PageRank],"&gt;="&amp;P13)</f>
        <v>0</v>
      </c>
      <c r="R12" s="34">
        <f t="shared" si="8"/>
        <v>0.14705882352941177</v>
      </c>
      <c r="S12" s="40">
        <f>COUNTIF(Vertices[Clustering Coefficient],"&gt;= "&amp;R12)-COUNTIF(Vertices[Clustering Coefficient],"&gt;="&amp;R13)</f>
        <v>7</v>
      </c>
      <c r="T12" s="34" t="e">
        <f ca="1" t="shared" si="9"/>
        <v>#REF!</v>
      </c>
      <c r="U12" s="35" t="e">
        <f ca="1" t="shared" si="0"/>
        <v>#REF!</v>
      </c>
    </row>
    <row r="13" spans="1:21" ht="15">
      <c r="A13" s="31" t="s">
        <v>171</v>
      </c>
      <c r="B13" s="31">
        <v>0</v>
      </c>
      <c r="D13" s="29">
        <f t="shared" si="1"/>
        <v>0</v>
      </c>
      <c r="E13">
        <f>COUNTIF(Vertices[Degree],"&gt;= "&amp;D13)-COUNTIF(Vertices[Degree],"&gt;="&amp;D14)</f>
        <v>0</v>
      </c>
      <c r="F13" s="36">
        <f t="shared" si="2"/>
        <v>7.764705882352942</v>
      </c>
      <c r="G13" s="37">
        <f>COUNTIF(Vertices[In-Degree],"&gt;= "&amp;F13)-COUNTIF(Vertices[In-Degree],"&gt;="&amp;F14)</f>
        <v>3</v>
      </c>
      <c r="H13" s="36">
        <f t="shared" si="3"/>
        <v>7.764705882352942</v>
      </c>
      <c r="I13" s="37">
        <f>COUNTIF(Vertices[Out-Degree],"&gt;= "&amp;H13)-COUNTIF(Vertices[Out-Degree],"&gt;="&amp;H14)</f>
        <v>2</v>
      </c>
      <c r="J13" s="36">
        <f t="shared" si="4"/>
        <v>296.5827858529412</v>
      </c>
      <c r="K13" s="37">
        <f>COUNTIF(Vertices[Betweenness Centrality],"&gt;= "&amp;J13)-COUNTIF(Vertices[Betweenness Centrality],"&gt;="&amp;J14)</f>
        <v>3</v>
      </c>
      <c r="L13" s="36">
        <f t="shared" si="5"/>
        <v>0.19085905882352938</v>
      </c>
      <c r="M13" s="37">
        <f>COUNTIF(Vertices[Closeness Centrality],"&gt;= "&amp;L13)-COUNTIF(Vertices[Closeness Centrality],"&gt;="&amp;L14)</f>
        <v>1</v>
      </c>
      <c r="N13" s="36">
        <f t="shared" si="6"/>
        <v>0.08912264705882351</v>
      </c>
      <c r="O13" s="37">
        <f>COUNTIF(Vertices[Eigenvector Centrality],"&gt;= "&amp;N13)-COUNTIF(Vertices[Eigenvector Centrality],"&gt;="&amp;N14)</f>
        <v>3</v>
      </c>
      <c r="P13" s="36">
        <f t="shared" si="7"/>
        <v>0.005064529411764707</v>
      </c>
      <c r="Q13" s="37">
        <f>COUNTIF(Vertices[PageRank],"&gt;= "&amp;P13)-COUNTIF(Vertices[PageRank],"&gt;="&amp;P14)</f>
        <v>0</v>
      </c>
      <c r="R13" s="36">
        <f t="shared" si="8"/>
        <v>0.16176470588235295</v>
      </c>
      <c r="S13" s="41">
        <f>COUNTIF(Vertices[Clustering Coefficient],"&gt;= "&amp;R13)-COUNTIF(Vertices[Clustering Coefficient],"&gt;="&amp;R14)</f>
        <v>14</v>
      </c>
      <c r="T13" s="36" t="e">
        <f ca="1" t="shared" si="9"/>
        <v>#REF!</v>
      </c>
      <c r="U13" s="37" t="e">
        <f ca="1" t="shared" si="0"/>
        <v>#REF!</v>
      </c>
    </row>
    <row r="14" spans="1:21" ht="15">
      <c r="A14" s="109"/>
      <c r="B14" s="109"/>
      <c r="D14" s="29">
        <f t="shared" si="1"/>
        <v>0</v>
      </c>
      <c r="E14">
        <f>COUNTIF(Vertices[Degree],"&gt;= "&amp;D14)-COUNTIF(Vertices[Degree],"&gt;="&amp;D15)</f>
        <v>0</v>
      </c>
      <c r="F14" s="34">
        <f t="shared" si="2"/>
        <v>8.470588235294118</v>
      </c>
      <c r="G14" s="35">
        <f>COUNTIF(Vertices[In-Degree],"&gt;= "&amp;F14)-COUNTIF(Vertices[In-Degree],"&gt;="&amp;F15)</f>
        <v>3</v>
      </c>
      <c r="H14" s="34">
        <f t="shared" si="3"/>
        <v>8.470588235294118</v>
      </c>
      <c r="I14" s="35">
        <f>COUNTIF(Vertices[Out-Degree],"&gt;= "&amp;H14)-COUNTIF(Vertices[Out-Degree],"&gt;="&amp;H15)</f>
        <v>4</v>
      </c>
      <c r="J14" s="34">
        <f t="shared" si="4"/>
        <v>323.54485729411766</v>
      </c>
      <c r="K14" s="35">
        <f>COUNTIF(Vertices[Betweenness Centrality],"&gt;= "&amp;J14)-COUNTIF(Vertices[Betweenness Centrality],"&gt;="&amp;J15)</f>
        <v>0</v>
      </c>
      <c r="L14" s="34">
        <f t="shared" si="5"/>
        <v>0.20820988235294113</v>
      </c>
      <c r="M14" s="35">
        <f>COUNTIF(Vertices[Closeness Centrality],"&gt;= "&amp;L14)-COUNTIF(Vertices[Closeness Centrality],"&gt;="&amp;L15)</f>
        <v>0</v>
      </c>
      <c r="N14" s="34">
        <f t="shared" si="6"/>
        <v>0.09722470588235292</v>
      </c>
      <c r="O14" s="35">
        <f>COUNTIF(Vertices[Eigenvector Centrality],"&gt;= "&amp;N14)-COUNTIF(Vertices[Eigenvector Centrality],"&gt;="&amp;N15)</f>
        <v>2</v>
      </c>
      <c r="P14" s="34">
        <f t="shared" si="7"/>
        <v>0.00552494117647059</v>
      </c>
      <c r="Q14" s="35">
        <f>COUNTIF(Vertices[PageRank],"&gt;= "&amp;P14)-COUNTIF(Vertices[PageRank],"&gt;="&amp;P15)</f>
        <v>0</v>
      </c>
      <c r="R14" s="34">
        <f t="shared" si="8"/>
        <v>0.17647058823529413</v>
      </c>
      <c r="S14" s="40">
        <f>COUNTIF(Vertices[Clustering Coefficient],"&gt;= "&amp;R14)-COUNTIF(Vertices[Clustering Coefficient],"&gt;="&amp;R15)</f>
        <v>7</v>
      </c>
      <c r="T14" s="34" t="e">
        <f ca="1" t="shared" si="9"/>
        <v>#REF!</v>
      </c>
      <c r="U14" s="35" t="e">
        <f ca="1" t="shared" si="0"/>
        <v>#REF!</v>
      </c>
    </row>
    <row r="15" spans="1:21" ht="15">
      <c r="A15" s="31" t="s">
        <v>152</v>
      </c>
      <c r="B15" s="31">
        <v>16</v>
      </c>
      <c r="D15" s="29">
        <f t="shared" si="1"/>
        <v>0</v>
      </c>
      <c r="E15">
        <f>COUNTIF(Vertices[Degree],"&gt;= "&amp;D15)-COUNTIF(Vertices[Degree],"&gt;="&amp;D16)</f>
        <v>0</v>
      </c>
      <c r="F15" s="36">
        <f t="shared" si="2"/>
        <v>9.176470588235293</v>
      </c>
      <c r="G15" s="37">
        <f>COUNTIF(Vertices[In-Degree],"&gt;= "&amp;F15)-COUNTIF(Vertices[In-Degree],"&gt;="&amp;F16)</f>
        <v>0</v>
      </c>
      <c r="H15" s="36">
        <f t="shared" si="3"/>
        <v>9.176470588235293</v>
      </c>
      <c r="I15" s="37">
        <f>COUNTIF(Vertices[Out-Degree],"&gt;= "&amp;H15)-COUNTIF(Vertices[Out-Degree],"&gt;="&amp;H16)</f>
        <v>0</v>
      </c>
      <c r="J15" s="36">
        <f t="shared" si="4"/>
        <v>350.50692873529414</v>
      </c>
      <c r="K15" s="37">
        <f>COUNTIF(Vertices[Betweenness Centrality],"&gt;= "&amp;J15)-COUNTIF(Vertices[Betweenness Centrality],"&gt;="&amp;J16)</f>
        <v>2</v>
      </c>
      <c r="L15" s="36">
        <f t="shared" si="5"/>
        <v>0.22556070588235289</v>
      </c>
      <c r="M15" s="37">
        <f>COUNTIF(Vertices[Closeness Centrality],"&gt;= "&amp;L15)-COUNTIF(Vertices[Closeness Centrality],"&gt;="&amp;L16)</f>
        <v>0</v>
      </c>
      <c r="N15" s="36">
        <f t="shared" si="6"/>
        <v>0.10532676470588233</v>
      </c>
      <c r="O15" s="37">
        <f>COUNTIF(Vertices[Eigenvector Centrality],"&gt;= "&amp;N15)-COUNTIF(Vertices[Eigenvector Centrality],"&gt;="&amp;N16)</f>
        <v>2</v>
      </c>
      <c r="P15" s="36">
        <f t="shared" si="7"/>
        <v>0.005985352941176473</v>
      </c>
      <c r="Q15" s="37">
        <f>COUNTIF(Vertices[PageRank],"&gt;= "&amp;P15)-COUNTIF(Vertices[PageRank],"&gt;="&amp;P16)</f>
        <v>0</v>
      </c>
      <c r="R15" s="36">
        <f t="shared" si="8"/>
        <v>0.1911764705882353</v>
      </c>
      <c r="S15" s="41">
        <f>COUNTIF(Vertices[Clustering Coefficient],"&gt;= "&amp;R15)-COUNTIF(Vertices[Clustering Coefficient],"&gt;="&amp;R16)</f>
        <v>7</v>
      </c>
      <c r="T15" s="36" t="e">
        <f ca="1" t="shared" si="9"/>
        <v>#REF!</v>
      </c>
      <c r="U15" s="37" t="e">
        <f ca="1" t="shared" si="0"/>
        <v>#REF!</v>
      </c>
    </row>
    <row r="16" spans="1:21" ht="15">
      <c r="A16" s="31" t="s">
        <v>153</v>
      </c>
      <c r="B16" s="31">
        <v>15</v>
      </c>
      <c r="D16" s="29">
        <f t="shared" si="1"/>
        <v>0</v>
      </c>
      <c r="E16">
        <f>COUNTIF(Vertices[Degree],"&gt;= "&amp;D16)-COUNTIF(Vertices[Degree],"&gt;="&amp;D17)</f>
        <v>0</v>
      </c>
      <c r="F16" s="34">
        <f t="shared" si="2"/>
        <v>9.88235294117647</v>
      </c>
      <c r="G16" s="35">
        <f>COUNTIF(Vertices[In-Degree],"&gt;= "&amp;F16)-COUNTIF(Vertices[In-Degree],"&gt;="&amp;F17)</f>
        <v>5</v>
      </c>
      <c r="H16" s="34">
        <f t="shared" si="3"/>
        <v>9.88235294117647</v>
      </c>
      <c r="I16" s="35">
        <f>COUNTIF(Vertices[Out-Degree],"&gt;= "&amp;H16)-COUNTIF(Vertices[Out-Degree],"&gt;="&amp;H17)</f>
        <v>2</v>
      </c>
      <c r="J16" s="34">
        <f t="shared" si="4"/>
        <v>377.4690001764706</v>
      </c>
      <c r="K16" s="35">
        <f>COUNTIF(Vertices[Betweenness Centrality],"&gt;= "&amp;J16)-COUNTIF(Vertices[Betweenness Centrality],"&gt;="&amp;J17)</f>
        <v>2</v>
      </c>
      <c r="L16" s="34">
        <f t="shared" si="5"/>
        <v>0.24291152941176464</v>
      </c>
      <c r="M16" s="35">
        <f>COUNTIF(Vertices[Closeness Centrality],"&gt;= "&amp;L16)-COUNTIF(Vertices[Closeness Centrality],"&gt;="&amp;L17)</f>
        <v>1</v>
      </c>
      <c r="N16" s="34">
        <f t="shared" si="6"/>
        <v>0.11342882352941173</v>
      </c>
      <c r="O16" s="35">
        <f>COUNTIF(Vertices[Eigenvector Centrality],"&gt;= "&amp;N16)-COUNTIF(Vertices[Eigenvector Centrality],"&gt;="&amp;N17)</f>
        <v>4</v>
      </c>
      <c r="P16" s="34">
        <f t="shared" si="7"/>
        <v>0.006445764705882356</v>
      </c>
      <c r="Q16" s="35">
        <f>COUNTIF(Vertices[PageRank],"&gt;= "&amp;P16)-COUNTIF(Vertices[PageRank],"&gt;="&amp;P17)</f>
        <v>0</v>
      </c>
      <c r="R16" s="34">
        <f t="shared" si="8"/>
        <v>0.2058823529411765</v>
      </c>
      <c r="S16" s="40">
        <f>COUNTIF(Vertices[Clustering Coefficient],"&gt;= "&amp;R16)-COUNTIF(Vertices[Clustering Coefficient],"&gt;="&amp;R17)</f>
        <v>3</v>
      </c>
      <c r="T16" s="34" t="e">
        <f ca="1" t="shared" si="9"/>
        <v>#REF!</v>
      </c>
      <c r="U16" s="35" t="e">
        <f ca="1" t="shared" si="0"/>
        <v>#REF!</v>
      </c>
    </row>
    <row r="17" spans="1:21" ht="15">
      <c r="A17" s="31" t="s">
        <v>154</v>
      </c>
      <c r="B17" s="31">
        <v>83</v>
      </c>
      <c r="D17" s="29">
        <f t="shared" si="1"/>
        <v>0</v>
      </c>
      <c r="E17">
        <f>COUNTIF(Vertices[Degree],"&gt;= "&amp;D17)-COUNTIF(Vertices[Degree],"&gt;="&amp;D18)</f>
        <v>0</v>
      </c>
      <c r="F17" s="36">
        <f t="shared" si="2"/>
        <v>10.588235294117645</v>
      </c>
      <c r="G17" s="37">
        <f>COUNTIF(Vertices[In-Degree],"&gt;= "&amp;F17)-COUNTIF(Vertices[In-Degree],"&gt;="&amp;F18)</f>
        <v>2</v>
      </c>
      <c r="H17" s="36">
        <f t="shared" si="3"/>
        <v>10.588235294117645</v>
      </c>
      <c r="I17" s="37">
        <f>COUNTIF(Vertices[Out-Degree],"&gt;= "&amp;H17)-COUNTIF(Vertices[Out-Degree],"&gt;="&amp;H18)</f>
        <v>3</v>
      </c>
      <c r="J17" s="36">
        <f t="shared" si="4"/>
        <v>404.4310716176471</v>
      </c>
      <c r="K17" s="37">
        <f>COUNTIF(Vertices[Betweenness Centrality],"&gt;= "&amp;J17)-COUNTIF(Vertices[Betweenness Centrality],"&gt;="&amp;J18)</f>
        <v>0</v>
      </c>
      <c r="L17" s="36">
        <f t="shared" si="5"/>
        <v>0.2602623529411764</v>
      </c>
      <c r="M17" s="37">
        <f>COUNTIF(Vertices[Closeness Centrality],"&gt;= "&amp;L17)-COUNTIF(Vertices[Closeness Centrality],"&gt;="&amp;L18)</f>
        <v>3</v>
      </c>
      <c r="N17" s="36">
        <f t="shared" si="6"/>
        <v>0.12153088235294114</v>
      </c>
      <c r="O17" s="37">
        <f>COUNTIF(Vertices[Eigenvector Centrality],"&gt;= "&amp;N17)-COUNTIF(Vertices[Eigenvector Centrality],"&gt;="&amp;N18)</f>
        <v>2</v>
      </c>
      <c r="P17" s="36">
        <f t="shared" si="7"/>
        <v>0.0069061764705882385</v>
      </c>
      <c r="Q17" s="37">
        <f>COUNTIF(Vertices[PageRank],"&gt;= "&amp;P17)-COUNTIF(Vertices[PageRank],"&gt;="&amp;P18)</f>
        <v>0</v>
      </c>
      <c r="R17" s="36">
        <f t="shared" si="8"/>
        <v>0.22058823529411767</v>
      </c>
      <c r="S17" s="41">
        <f>COUNTIF(Vertices[Clustering Coefficient],"&gt;= "&amp;R17)-COUNTIF(Vertices[Clustering Coefficient],"&gt;="&amp;R18)</f>
        <v>5</v>
      </c>
      <c r="T17" s="36" t="e">
        <f ca="1" t="shared" si="9"/>
        <v>#REF!</v>
      </c>
      <c r="U17" s="37" t="e">
        <f ca="1" t="shared" si="0"/>
        <v>#REF!</v>
      </c>
    </row>
    <row r="18" spans="1:21" ht="15">
      <c r="A18" s="31" t="s">
        <v>155</v>
      </c>
      <c r="B18" s="31">
        <v>1214</v>
      </c>
      <c r="D18" s="29">
        <f t="shared" si="1"/>
        <v>0</v>
      </c>
      <c r="E18">
        <f>COUNTIF(Vertices[Degree],"&gt;= "&amp;D18)-COUNTIF(Vertices[Degree],"&gt;="&amp;D19)</f>
        <v>0</v>
      </c>
      <c r="F18" s="34">
        <f t="shared" si="2"/>
        <v>11.29411764705882</v>
      </c>
      <c r="G18" s="35">
        <f>COUNTIF(Vertices[In-Degree],"&gt;= "&amp;F18)-COUNTIF(Vertices[In-Degree],"&gt;="&amp;F19)</f>
        <v>0</v>
      </c>
      <c r="H18" s="34">
        <f t="shared" si="3"/>
        <v>11.29411764705882</v>
      </c>
      <c r="I18" s="35">
        <f>COUNTIF(Vertices[Out-Degree],"&gt;= "&amp;H18)-COUNTIF(Vertices[Out-Degree],"&gt;="&amp;H19)</f>
        <v>0</v>
      </c>
      <c r="J18" s="34">
        <f t="shared" si="4"/>
        <v>431.39314305882357</v>
      </c>
      <c r="K18" s="35">
        <f>COUNTIF(Vertices[Betweenness Centrality],"&gt;= "&amp;J18)-COUNTIF(Vertices[Betweenness Centrality],"&gt;="&amp;J19)</f>
        <v>0</v>
      </c>
      <c r="L18" s="34">
        <f t="shared" si="5"/>
        <v>0.27761317647058814</v>
      </c>
      <c r="M18" s="35">
        <f>COUNTIF(Vertices[Closeness Centrality],"&gt;= "&amp;L18)-COUNTIF(Vertices[Closeness Centrality],"&gt;="&amp;L19)</f>
        <v>1</v>
      </c>
      <c r="N18" s="34">
        <f t="shared" si="6"/>
        <v>0.12963294117647056</v>
      </c>
      <c r="O18" s="35">
        <f>COUNTIF(Vertices[Eigenvector Centrality],"&gt;= "&amp;N18)-COUNTIF(Vertices[Eigenvector Centrality],"&gt;="&amp;N19)</f>
        <v>2</v>
      </c>
      <c r="P18" s="34">
        <f t="shared" si="7"/>
        <v>0.007366588235294121</v>
      </c>
      <c r="Q18" s="35">
        <f>COUNTIF(Vertices[PageRank],"&gt;= "&amp;P18)-COUNTIF(Vertices[PageRank],"&gt;="&amp;P19)</f>
        <v>0</v>
      </c>
      <c r="R18" s="34">
        <f t="shared" si="8"/>
        <v>0.23529411764705885</v>
      </c>
      <c r="S18" s="40">
        <f>COUNTIF(Vertices[Clustering Coefficient],"&gt;= "&amp;R18)-COUNTIF(Vertices[Clustering Coefficient],"&gt;="&amp;R19)</f>
        <v>2</v>
      </c>
      <c r="T18" s="34" t="e">
        <f ca="1" t="shared" si="9"/>
        <v>#REF!</v>
      </c>
      <c r="U18" s="35" t="e">
        <f ca="1" t="shared" si="0"/>
        <v>#REF!</v>
      </c>
    </row>
    <row r="19" spans="1:21" ht="15">
      <c r="A19" s="109"/>
      <c r="B19" s="109"/>
      <c r="D19" s="29">
        <f t="shared" si="1"/>
        <v>0</v>
      </c>
      <c r="E19">
        <f>COUNTIF(Vertices[Degree],"&gt;= "&amp;D19)-COUNTIF(Vertices[Degree],"&gt;="&amp;D20)</f>
        <v>0</v>
      </c>
      <c r="F19" s="36">
        <f t="shared" si="2"/>
        <v>11.999999999999996</v>
      </c>
      <c r="G19" s="37">
        <f>COUNTIF(Vertices[In-Degree],"&gt;= "&amp;F19)-COUNTIF(Vertices[In-Degree],"&gt;="&amp;F20)</f>
        <v>2</v>
      </c>
      <c r="H19" s="36">
        <f t="shared" si="3"/>
        <v>11.999999999999996</v>
      </c>
      <c r="I19" s="37">
        <f>COUNTIF(Vertices[Out-Degree],"&gt;= "&amp;H19)-COUNTIF(Vertices[Out-Degree],"&gt;="&amp;H20)</f>
        <v>0</v>
      </c>
      <c r="J19" s="36">
        <f t="shared" si="4"/>
        <v>458.35521450000005</v>
      </c>
      <c r="K19" s="37">
        <f>COUNTIF(Vertices[Betweenness Centrality],"&gt;= "&amp;J19)-COUNTIF(Vertices[Betweenness Centrality],"&gt;="&amp;J20)</f>
        <v>0</v>
      </c>
      <c r="L19" s="36">
        <f t="shared" si="5"/>
        <v>0.2949639999999999</v>
      </c>
      <c r="M19" s="37">
        <f>COUNTIF(Vertices[Closeness Centrality],"&gt;= "&amp;L19)-COUNTIF(Vertices[Closeness Centrality],"&gt;="&amp;L20)</f>
        <v>2</v>
      </c>
      <c r="N19" s="36">
        <f t="shared" si="6"/>
        <v>0.13773499999999997</v>
      </c>
      <c r="O19" s="37">
        <f>COUNTIF(Vertices[Eigenvector Centrality],"&gt;= "&amp;N19)-COUNTIF(Vertices[Eigenvector Centrality],"&gt;="&amp;N20)</f>
        <v>2</v>
      </c>
      <c r="P19" s="36">
        <f t="shared" si="7"/>
        <v>0.007827000000000004</v>
      </c>
      <c r="Q19" s="37">
        <f>COUNTIF(Vertices[PageRank],"&gt;= "&amp;P19)-COUNTIF(Vertices[PageRank],"&gt;="&amp;P20)</f>
        <v>0</v>
      </c>
      <c r="R19" s="36">
        <f t="shared" si="8"/>
        <v>0.25</v>
      </c>
      <c r="S19" s="41">
        <f>COUNTIF(Vertices[Clustering Coefficient],"&gt;= "&amp;R19)-COUNTIF(Vertices[Clustering Coefficient],"&gt;="&amp;R20)</f>
        <v>5</v>
      </c>
      <c r="T19" s="36" t="e">
        <f ca="1" t="shared" si="9"/>
        <v>#REF!</v>
      </c>
      <c r="U19" s="37" t="e">
        <f ca="1" t="shared" si="0"/>
        <v>#REF!</v>
      </c>
    </row>
    <row r="20" spans="1:21" ht="15">
      <c r="A20" s="31" t="s">
        <v>156</v>
      </c>
      <c r="B20" s="31">
        <v>7</v>
      </c>
      <c r="D20" s="29">
        <f t="shared" si="1"/>
        <v>0</v>
      </c>
      <c r="E20">
        <f>COUNTIF(Vertices[Degree],"&gt;= "&amp;D20)-COUNTIF(Vertices[Degree],"&gt;="&amp;D21)</f>
        <v>0</v>
      </c>
      <c r="F20" s="34">
        <f t="shared" si="2"/>
        <v>12.705882352941172</v>
      </c>
      <c r="G20" s="35">
        <f>COUNTIF(Vertices[In-Degree],"&gt;= "&amp;F20)-COUNTIF(Vertices[In-Degree],"&gt;="&amp;F21)</f>
        <v>4</v>
      </c>
      <c r="H20" s="34">
        <f t="shared" si="3"/>
        <v>12.705882352941172</v>
      </c>
      <c r="I20" s="35">
        <f>COUNTIF(Vertices[Out-Degree],"&gt;= "&amp;H20)-COUNTIF(Vertices[Out-Degree],"&gt;="&amp;H21)</f>
        <v>1</v>
      </c>
      <c r="J20" s="34">
        <f t="shared" si="4"/>
        <v>485.3172859411765</v>
      </c>
      <c r="K20" s="35">
        <f>COUNTIF(Vertices[Betweenness Centrality],"&gt;= "&amp;J20)-COUNTIF(Vertices[Betweenness Centrality],"&gt;="&amp;J21)</f>
        <v>1</v>
      </c>
      <c r="L20" s="34">
        <f t="shared" si="5"/>
        <v>0.31231482352941164</v>
      </c>
      <c r="M20" s="35">
        <f>COUNTIF(Vertices[Closeness Centrality],"&gt;= "&amp;L20)-COUNTIF(Vertices[Closeness Centrality],"&gt;="&amp;L21)</f>
        <v>2</v>
      </c>
      <c r="N20" s="34">
        <f t="shared" si="6"/>
        <v>0.14583705882352938</v>
      </c>
      <c r="O20" s="35">
        <f>COUNTIF(Vertices[Eigenvector Centrality],"&gt;= "&amp;N20)-COUNTIF(Vertices[Eigenvector Centrality],"&gt;="&amp;N21)</f>
        <v>1</v>
      </c>
      <c r="P20" s="34">
        <f t="shared" si="7"/>
        <v>0.008287411764705887</v>
      </c>
      <c r="Q20" s="35">
        <f>COUNTIF(Vertices[PageRank],"&gt;= "&amp;P20)-COUNTIF(Vertices[PageRank],"&gt;="&amp;P21)</f>
        <v>0</v>
      </c>
      <c r="R20" s="34">
        <f t="shared" si="8"/>
        <v>0.2647058823529412</v>
      </c>
      <c r="S20" s="40">
        <f>COUNTIF(Vertices[Clustering Coefficient],"&gt;= "&amp;R20)-COUNTIF(Vertices[Clustering Coefficient],"&gt;="&amp;R21)</f>
        <v>2</v>
      </c>
      <c r="T20" s="34" t="e">
        <f ca="1" t="shared" si="9"/>
        <v>#REF!</v>
      </c>
      <c r="U20" s="35" t="e">
        <f ca="1" t="shared" si="0"/>
        <v>#REF!</v>
      </c>
    </row>
    <row r="21" spans="1:21" ht="15">
      <c r="A21" s="31" t="s">
        <v>157</v>
      </c>
      <c r="B21" s="31">
        <v>2.385832</v>
      </c>
      <c r="D21" s="29">
        <f t="shared" si="1"/>
        <v>0</v>
      </c>
      <c r="E21">
        <f>COUNTIF(Vertices[Degree],"&gt;= "&amp;D21)-COUNTIF(Vertices[Degree],"&gt;="&amp;D22)</f>
        <v>0</v>
      </c>
      <c r="F21" s="36">
        <f t="shared" si="2"/>
        <v>13.411764705882348</v>
      </c>
      <c r="G21" s="37">
        <f>COUNTIF(Vertices[In-Degree],"&gt;= "&amp;F21)-COUNTIF(Vertices[In-Degree],"&gt;="&amp;F22)</f>
        <v>3</v>
      </c>
      <c r="H21" s="36">
        <f t="shared" si="3"/>
        <v>13.411764705882348</v>
      </c>
      <c r="I21" s="37">
        <f>COUNTIF(Vertices[Out-Degree],"&gt;= "&amp;H21)-COUNTIF(Vertices[Out-Degree],"&gt;="&amp;H22)</f>
        <v>3</v>
      </c>
      <c r="J21" s="36">
        <f t="shared" si="4"/>
        <v>512.2793573823529</v>
      </c>
      <c r="K21" s="37">
        <f>COUNTIF(Vertices[Betweenness Centrality],"&gt;= "&amp;J21)-COUNTIF(Vertices[Betweenness Centrality],"&gt;="&amp;J22)</f>
        <v>0</v>
      </c>
      <c r="L21" s="36">
        <f t="shared" si="5"/>
        <v>0.3296656470588234</v>
      </c>
      <c r="M21" s="37">
        <f>COUNTIF(Vertices[Closeness Centrality],"&gt;= "&amp;L21)-COUNTIF(Vertices[Closeness Centrality],"&gt;="&amp;L22)</f>
        <v>0</v>
      </c>
      <c r="N21" s="36">
        <f t="shared" si="6"/>
        <v>0.15393911764705878</v>
      </c>
      <c r="O21" s="37">
        <f>COUNTIF(Vertices[Eigenvector Centrality],"&gt;= "&amp;N21)-COUNTIF(Vertices[Eigenvector Centrality],"&gt;="&amp;N22)</f>
        <v>2</v>
      </c>
      <c r="P21" s="36">
        <f t="shared" si="7"/>
        <v>0.00874782352941177</v>
      </c>
      <c r="Q21" s="37">
        <f>COUNTIF(Vertices[PageRank],"&gt;= "&amp;P21)-COUNTIF(Vertices[PageRank],"&gt;="&amp;P22)</f>
        <v>0</v>
      </c>
      <c r="R21" s="36">
        <f t="shared" si="8"/>
        <v>0.27941176470588236</v>
      </c>
      <c r="S21" s="41">
        <f>COUNTIF(Vertices[Clustering Coefficient],"&gt;= "&amp;R21)-COUNTIF(Vertices[Clustering Coefficient],"&gt;="&amp;R22)</f>
        <v>1</v>
      </c>
      <c r="T21" s="36" t="e">
        <f ca="1" t="shared" si="9"/>
        <v>#REF!</v>
      </c>
      <c r="U21" s="37" t="e">
        <f ca="1" t="shared" si="0"/>
        <v>#REF!</v>
      </c>
    </row>
    <row r="22" spans="1:21" ht="15">
      <c r="A22" s="109"/>
      <c r="B22" s="109"/>
      <c r="D22" s="29">
        <f t="shared" si="1"/>
        <v>0</v>
      </c>
      <c r="E22">
        <f>COUNTIF(Vertices[Degree],"&gt;= "&amp;D22)-COUNTIF(Vertices[Degree],"&gt;="&amp;D23)</f>
        <v>0</v>
      </c>
      <c r="F22" s="34">
        <f t="shared" si="2"/>
        <v>14.117647058823524</v>
      </c>
      <c r="G22" s="35">
        <f>COUNTIF(Vertices[In-Degree],"&gt;= "&amp;F22)-COUNTIF(Vertices[In-Degree],"&gt;="&amp;F23)</f>
        <v>0</v>
      </c>
      <c r="H22" s="34">
        <f t="shared" si="3"/>
        <v>14.117647058823524</v>
      </c>
      <c r="I22" s="35">
        <f>COUNTIF(Vertices[Out-Degree],"&gt;= "&amp;H22)-COUNTIF(Vertices[Out-Degree],"&gt;="&amp;H23)</f>
        <v>0</v>
      </c>
      <c r="J22" s="34">
        <f t="shared" si="4"/>
        <v>539.2414288235294</v>
      </c>
      <c r="K22" s="35">
        <f>COUNTIF(Vertices[Betweenness Centrality],"&gt;= "&amp;J22)-COUNTIF(Vertices[Betweenness Centrality],"&gt;="&amp;J23)</f>
        <v>0</v>
      </c>
      <c r="L22" s="34">
        <f t="shared" si="5"/>
        <v>0.34701647058823515</v>
      </c>
      <c r="M22" s="35">
        <f>COUNTIF(Vertices[Closeness Centrality],"&gt;= "&amp;L22)-COUNTIF(Vertices[Closeness Centrality],"&gt;="&amp;L23)</f>
        <v>3</v>
      </c>
      <c r="N22" s="34">
        <f t="shared" si="6"/>
        <v>0.1620411764705882</v>
      </c>
      <c r="O22" s="35">
        <f>COUNTIF(Vertices[Eigenvector Centrality],"&gt;= "&amp;N22)-COUNTIF(Vertices[Eigenvector Centrality],"&gt;="&amp;N23)</f>
        <v>4</v>
      </c>
      <c r="P22" s="34">
        <f t="shared" si="7"/>
        <v>0.009208235294117652</v>
      </c>
      <c r="Q22" s="35">
        <f>COUNTIF(Vertices[PageRank],"&gt;= "&amp;P22)-COUNTIF(Vertices[PageRank],"&gt;="&amp;P23)</f>
        <v>0</v>
      </c>
      <c r="R22" s="34">
        <f t="shared" si="8"/>
        <v>0.29411764705882354</v>
      </c>
      <c r="S22" s="40">
        <f>COUNTIF(Vertices[Clustering Coefficient],"&gt;= "&amp;R22)-COUNTIF(Vertices[Clustering Coefficient],"&gt;="&amp;R23)</f>
        <v>2</v>
      </c>
      <c r="T22" s="34" t="e">
        <f ca="1" t="shared" si="9"/>
        <v>#REF!</v>
      </c>
      <c r="U22" s="35" t="e">
        <f ca="1" t="shared" si="0"/>
        <v>#REF!</v>
      </c>
    </row>
    <row r="23" spans="1:21" ht="15">
      <c r="A23" s="31" t="s">
        <v>158</v>
      </c>
      <c r="B23" s="31">
        <v>0.04818009678098043</v>
      </c>
      <c r="D23" s="29">
        <f t="shared" si="1"/>
        <v>0</v>
      </c>
      <c r="E23">
        <f>COUNTIF(Vertices[Degree],"&gt;= "&amp;D23)-COUNTIF(Vertices[Degree],"&gt;="&amp;D24)</f>
        <v>0</v>
      </c>
      <c r="F23" s="36">
        <f t="shared" si="2"/>
        <v>14.8235294117647</v>
      </c>
      <c r="G23" s="37">
        <f>COUNTIF(Vertices[In-Degree],"&gt;= "&amp;F23)-COUNTIF(Vertices[In-Degree],"&gt;="&amp;F24)</f>
        <v>0</v>
      </c>
      <c r="H23" s="36">
        <f t="shared" si="3"/>
        <v>14.8235294117647</v>
      </c>
      <c r="I23" s="37">
        <f>COUNTIF(Vertices[Out-Degree],"&gt;= "&amp;H23)-COUNTIF(Vertices[Out-Degree],"&gt;="&amp;H24)</f>
        <v>1</v>
      </c>
      <c r="J23" s="36">
        <f t="shared" si="4"/>
        <v>566.2035002647059</v>
      </c>
      <c r="K23" s="37">
        <f>COUNTIF(Vertices[Betweenness Centrality],"&gt;= "&amp;J23)-COUNTIF(Vertices[Betweenness Centrality],"&gt;="&amp;J24)</f>
        <v>0</v>
      </c>
      <c r="L23" s="36">
        <f t="shared" si="5"/>
        <v>0.3643672941176469</v>
      </c>
      <c r="M23" s="37">
        <f>COUNTIF(Vertices[Closeness Centrality],"&gt;= "&amp;L23)-COUNTIF(Vertices[Closeness Centrality],"&gt;="&amp;L24)</f>
        <v>7</v>
      </c>
      <c r="N23" s="36">
        <f t="shared" si="6"/>
        <v>0.1701432352941176</v>
      </c>
      <c r="O23" s="37">
        <f>COUNTIF(Vertices[Eigenvector Centrality],"&gt;= "&amp;N23)-COUNTIF(Vertices[Eigenvector Centrality],"&gt;="&amp;N24)</f>
        <v>1</v>
      </c>
      <c r="P23" s="36">
        <f t="shared" si="7"/>
        <v>0.009668647058823535</v>
      </c>
      <c r="Q23" s="37">
        <f>COUNTIF(Vertices[PageRank],"&gt;= "&amp;P23)-COUNTIF(Vertices[PageRank],"&gt;="&amp;P24)</f>
        <v>0</v>
      </c>
      <c r="R23" s="36">
        <f t="shared" si="8"/>
        <v>0.3088235294117647</v>
      </c>
      <c r="S23" s="41">
        <f>COUNTIF(Vertices[Clustering Coefficient],"&gt;= "&amp;R23)-COUNTIF(Vertices[Clustering Coefficient],"&gt;="&amp;R24)</f>
        <v>1</v>
      </c>
      <c r="T23" s="36" t="e">
        <f ca="1" t="shared" si="9"/>
        <v>#REF!</v>
      </c>
      <c r="U23" s="37" t="e">
        <f ca="1" t="shared" si="0"/>
        <v>#REF!</v>
      </c>
    </row>
    <row r="24" spans="1:21" ht="15">
      <c r="A24" s="31" t="s">
        <v>3398</v>
      </c>
      <c r="B24" s="31">
        <v>0.163321</v>
      </c>
      <c r="D24" s="29">
        <f t="shared" si="1"/>
        <v>0</v>
      </c>
      <c r="E24">
        <f>COUNTIF(Vertices[Degree],"&gt;= "&amp;D24)-COUNTIF(Vertices[Degree],"&gt;="&amp;D25)</f>
        <v>0</v>
      </c>
      <c r="F24" s="34">
        <f t="shared" si="2"/>
        <v>15.529411764705875</v>
      </c>
      <c r="G24" s="35">
        <f>COUNTIF(Vertices[In-Degree],"&gt;= "&amp;F24)-COUNTIF(Vertices[In-Degree],"&gt;="&amp;F25)</f>
        <v>1</v>
      </c>
      <c r="H24" s="34">
        <f t="shared" si="3"/>
        <v>15.529411764705875</v>
      </c>
      <c r="I24" s="35">
        <f>COUNTIF(Vertices[Out-Degree],"&gt;= "&amp;H24)-COUNTIF(Vertices[Out-Degree],"&gt;="&amp;H25)</f>
        <v>1</v>
      </c>
      <c r="J24" s="34">
        <f t="shared" si="4"/>
        <v>593.1655717058824</v>
      </c>
      <c r="K24" s="35">
        <f>COUNTIF(Vertices[Betweenness Centrality],"&gt;= "&amp;J24)-COUNTIF(Vertices[Betweenness Centrality],"&gt;="&amp;J25)</f>
        <v>0</v>
      </c>
      <c r="L24" s="34">
        <f t="shared" si="5"/>
        <v>0.38171811764705865</v>
      </c>
      <c r="M24" s="35">
        <f>COUNTIF(Vertices[Closeness Centrality],"&gt;= "&amp;L24)-COUNTIF(Vertices[Closeness Centrality],"&gt;="&amp;L25)</f>
        <v>8</v>
      </c>
      <c r="N24" s="34">
        <f t="shared" si="6"/>
        <v>0.178245294117647</v>
      </c>
      <c r="O24" s="35">
        <f>COUNTIF(Vertices[Eigenvector Centrality],"&gt;= "&amp;N24)-COUNTIF(Vertices[Eigenvector Centrality],"&gt;="&amp;N25)</f>
        <v>1</v>
      </c>
      <c r="P24" s="34">
        <f t="shared" si="7"/>
        <v>0.010129058823529418</v>
      </c>
      <c r="Q24" s="35">
        <f>COUNTIF(Vertices[PageRank],"&gt;= "&amp;P24)-COUNTIF(Vertices[PageRank],"&gt;="&amp;P25)</f>
        <v>7</v>
      </c>
      <c r="R24" s="34">
        <f t="shared" si="8"/>
        <v>0.3235294117647059</v>
      </c>
      <c r="S24" s="40">
        <f>COUNTIF(Vertices[Clustering Coefficient],"&gt;= "&amp;R24)-COUNTIF(Vertices[Clustering Coefficient],"&gt;="&amp;R25)</f>
        <v>1</v>
      </c>
      <c r="T24" s="34" t="e">
        <f ca="1" t="shared" si="9"/>
        <v>#REF!</v>
      </c>
      <c r="U24" s="35" t="e">
        <f ca="1" t="shared" si="0"/>
        <v>#REF!</v>
      </c>
    </row>
    <row r="25" spans="1:21" ht="15">
      <c r="A25" s="109"/>
      <c r="B25" s="109"/>
      <c r="D25" s="29">
        <f t="shared" si="1"/>
        <v>0</v>
      </c>
      <c r="E25">
        <f>COUNTIF(Vertices[Degree],"&gt;= "&amp;D25)-COUNTIF(Vertices[Degree],"&gt;="&amp;D26)</f>
        <v>0</v>
      </c>
      <c r="F25" s="36">
        <f t="shared" si="2"/>
        <v>16.23529411764705</v>
      </c>
      <c r="G25" s="37">
        <f>COUNTIF(Vertices[In-Degree],"&gt;= "&amp;F25)-COUNTIF(Vertices[In-Degree],"&gt;="&amp;F26)</f>
        <v>0</v>
      </c>
      <c r="H25" s="36">
        <f t="shared" si="3"/>
        <v>16.23529411764705</v>
      </c>
      <c r="I25" s="37">
        <f>COUNTIF(Vertices[Out-Degree],"&gt;= "&amp;H25)-COUNTIF(Vertices[Out-Degree],"&gt;="&amp;H26)</f>
        <v>0</v>
      </c>
      <c r="J25" s="36">
        <f t="shared" si="4"/>
        <v>620.1276431470588</v>
      </c>
      <c r="K25" s="37">
        <f>COUNTIF(Vertices[Betweenness Centrality],"&gt;= "&amp;J25)-COUNTIF(Vertices[Betweenness Centrality],"&gt;="&amp;J26)</f>
        <v>0</v>
      </c>
      <c r="L25" s="36">
        <f t="shared" si="5"/>
        <v>0.3990689411764704</v>
      </c>
      <c r="M25" s="37">
        <f>COUNTIF(Vertices[Closeness Centrality],"&gt;= "&amp;L25)-COUNTIF(Vertices[Closeness Centrality],"&gt;="&amp;L26)</f>
        <v>3</v>
      </c>
      <c r="N25" s="36">
        <f t="shared" si="6"/>
        <v>0.1863473529411764</v>
      </c>
      <c r="O25" s="37">
        <f>COUNTIF(Vertices[Eigenvector Centrality],"&gt;= "&amp;N25)-COUNTIF(Vertices[Eigenvector Centrality],"&gt;="&amp;N26)</f>
        <v>0</v>
      </c>
      <c r="P25" s="36">
        <f t="shared" si="7"/>
        <v>0.010589470588235301</v>
      </c>
      <c r="Q25" s="37">
        <f>COUNTIF(Vertices[PageRank],"&gt;= "&amp;P25)-COUNTIF(Vertices[PageRank],"&gt;="&amp;P26)</f>
        <v>11</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3399</v>
      </c>
      <c r="B26" s="31" t="s">
        <v>3414</v>
      </c>
      <c r="D26" s="29">
        <f t="shared" si="1"/>
        <v>0</v>
      </c>
      <c r="E26">
        <f>COUNTIF(Vertices[Degree],"&gt;= "&amp;D26)-COUNTIF(Vertices[Degree],"&gt;="&amp;D27)</f>
        <v>0</v>
      </c>
      <c r="F26" s="34">
        <f t="shared" si="2"/>
        <v>16.94117647058823</v>
      </c>
      <c r="G26" s="35">
        <f>COUNTIF(Vertices[In-Degree],"&gt;= "&amp;F26)-COUNTIF(Vertices[In-Degree],"&gt;="&amp;F27)</f>
        <v>0</v>
      </c>
      <c r="H26" s="34">
        <f t="shared" si="3"/>
        <v>16.94117647058823</v>
      </c>
      <c r="I26" s="35">
        <f>COUNTIF(Vertices[Out-Degree],"&gt;= "&amp;H26)-COUNTIF(Vertices[Out-Degree],"&gt;="&amp;H27)</f>
        <v>1</v>
      </c>
      <c r="J26" s="34">
        <f t="shared" si="4"/>
        <v>647.0897145882353</v>
      </c>
      <c r="K26" s="35">
        <f>COUNTIF(Vertices[Betweenness Centrality],"&gt;= "&amp;J26)-COUNTIF(Vertices[Betweenness Centrality],"&gt;="&amp;J27)</f>
        <v>0</v>
      </c>
      <c r="L26" s="34">
        <f t="shared" si="5"/>
        <v>0.41641976470588216</v>
      </c>
      <c r="M26" s="35">
        <f>COUNTIF(Vertices[Closeness Centrality],"&gt;= "&amp;L26)-COUNTIF(Vertices[Closeness Centrality],"&gt;="&amp;L27)</f>
        <v>5</v>
      </c>
      <c r="N26" s="34">
        <f t="shared" si="6"/>
        <v>0.19444941176470582</v>
      </c>
      <c r="O26" s="35">
        <f>COUNTIF(Vertices[Eigenvector Centrality],"&gt;= "&amp;N26)-COUNTIF(Vertices[Eigenvector Centrality],"&gt;="&amp;N27)</f>
        <v>5</v>
      </c>
      <c r="P26" s="34">
        <f t="shared" si="7"/>
        <v>0.011049882352941184</v>
      </c>
      <c r="Q26" s="35">
        <f>COUNTIF(Vertices[PageRank],"&gt;= "&amp;P26)-COUNTIF(Vertices[PageRank],"&gt;="&amp;P27)</f>
        <v>15</v>
      </c>
      <c r="R26" s="34">
        <f t="shared" si="8"/>
        <v>0.35294117647058826</v>
      </c>
      <c r="S26" s="40">
        <f>COUNTIF(Vertices[Clustering Coefficient],"&gt;= "&amp;R26)-COUNTIF(Vertices[Clustering Coefficient],"&gt;="&amp;R27)</f>
        <v>1</v>
      </c>
      <c r="T26" s="34" t="e">
        <f ca="1" t="shared" si="9"/>
        <v>#REF!</v>
      </c>
      <c r="U26" s="35" t="e">
        <f aca="true" t="shared" si="10" ref="U26:U35">COUNTIF(INDIRECT(DynamicFilterSourceColumnRange),"&gt;= "&amp;T26)-COUNTIF(INDIRECT(DynamicFilterSourceColumnRange),"&gt;="&amp;T27)</f>
        <v>#REF!</v>
      </c>
    </row>
    <row r="27" spans="1:21" ht="15">
      <c r="A27" s="109"/>
      <c r="B27" s="109"/>
      <c r="D27" s="29">
        <f t="shared" si="1"/>
        <v>0</v>
      </c>
      <c r="E27">
        <f>COUNTIF(Vertices[Degree],"&gt;= "&amp;D27)-COUNTIF(Vertices[Degree],"&gt;="&amp;D28)</f>
        <v>0</v>
      </c>
      <c r="F27" s="36">
        <f t="shared" si="2"/>
        <v>17.647058823529406</v>
      </c>
      <c r="G27" s="37">
        <f>COUNTIF(Vertices[In-Degree],"&gt;= "&amp;F27)-COUNTIF(Vertices[In-Degree],"&gt;="&amp;F28)</f>
        <v>0</v>
      </c>
      <c r="H27" s="36">
        <f t="shared" si="3"/>
        <v>17.647058823529406</v>
      </c>
      <c r="I27" s="37">
        <f>COUNTIF(Vertices[Out-Degree],"&gt;= "&amp;H27)-COUNTIF(Vertices[Out-Degree],"&gt;="&amp;H28)</f>
        <v>1</v>
      </c>
      <c r="J27" s="36">
        <f t="shared" si="4"/>
        <v>674.0517860294118</v>
      </c>
      <c r="K27" s="37">
        <f>COUNTIF(Vertices[Betweenness Centrality],"&gt;= "&amp;J27)-COUNTIF(Vertices[Betweenness Centrality],"&gt;="&amp;J28)</f>
        <v>0</v>
      </c>
      <c r="L27" s="36">
        <f t="shared" si="5"/>
        <v>0.4337705882352939</v>
      </c>
      <c r="M27" s="37">
        <f>COUNTIF(Vertices[Closeness Centrality],"&gt;= "&amp;L27)-COUNTIF(Vertices[Closeness Centrality],"&gt;="&amp;L28)</f>
        <v>11</v>
      </c>
      <c r="N27" s="36">
        <f t="shared" si="6"/>
        <v>0.20255147058823522</v>
      </c>
      <c r="O27" s="37">
        <f>COUNTIF(Vertices[Eigenvector Centrality],"&gt;= "&amp;N27)-COUNTIF(Vertices[Eigenvector Centrality],"&gt;="&amp;N28)</f>
        <v>0</v>
      </c>
      <c r="P27" s="36">
        <f t="shared" si="7"/>
        <v>0.011510294117647066</v>
      </c>
      <c r="Q27" s="37">
        <f>COUNTIF(Vertices[PageRank],"&gt;= "&amp;P27)-COUNTIF(Vertices[PageRank],"&gt;="&amp;P28)</f>
        <v>9</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3400</v>
      </c>
      <c r="B28" s="31" t="s">
        <v>3630</v>
      </c>
      <c r="D28" s="29">
        <f t="shared" si="1"/>
        <v>0</v>
      </c>
      <c r="E28">
        <f>COUNTIF(Vertices[Degree],"&gt;= "&amp;D28)-COUNTIF(Vertices[Degree],"&gt;="&amp;D29)</f>
        <v>0</v>
      </c>
      <c r="F28" s="34">
        <f t="shared" si="2"/>
        <v>18.352941176470583</v>
      </c>
      <c r="G28" s="35">
        <f>COUNTIF(Vertices[In-Degree],"&gt;= "&amp;F28)-COUNTIF(Vertices[In-Degree],"&gt;="&amp;F29)</f>
        <v>2</v>
      </c>
      <c r="H28" s="34">
        <f t="shared" si="3"/>
        <v>18.352941176470583</v>
      </c>
      <c r="I28" s="35">
        <f>COUNTIF(Vertices[Out-Degree],"&gt;= "&amp;H28)-COUNTIF(Vertices[Out-Degree],"&gt;="&amp;H29)</f>
        <v>1</v>
      </c>
      <c r="J28" s="34">
        <f t="shared" si="4"/>
        <v>701.0138574705883</v>
      </c>
      <c r="K28" s="35">
        <f>COUNTIF(Vertices[Betweenness Centrality],"&gt;= "&amp;J28)-COUNTIF(Vertices[Betweenness Centrality],"&gt;="&amp;J29)</f>
        <v>0</v>
      </c>
      <c r="L28" s="34">
        <f t="shared" si="5"/>
        <v>0.45112141176470566</v>
      </c>
      <c r="M28" s="35">
        <f>COUNTIF(Vertices[Closeness Centrality],"&gt;= "&amp;L28)-COUNTIF(Vertices[Closeness Centrality],"&gt;="&amp;L29)</f>
        <v>6</v>
      </c>
      <c r="N28" s="34">
        <f t="shared" si="6"/>
        <v>0.21065352941176463</v>
      </c>
      <c r="O28" s="35">
        <f>COUNTIF(Vertices[Eigenvector Centrality],"&gt;= "&amp;N28)-COUNTIF(Vertices[Eigenvector Centrality],"&gt;="&amp;N29)</f>
        <v>0</v>
      </c>
      <c r="P28" s="34">
        <f t="shared" si="7"/>
        <v>0.01197070588235295</v>
      </c>
      <c r="Q28" s="35">
        <f>COUNTIF(Vertices[PageRank],"&gt;= "&amp;P28)-COUNTIF(Vertices[PageRank],"&gt;="&amp;P29)</f>
        <v>13</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3401</v>
      </c>
      <c r="B29" s="31" t="s">
        <v>3631</v>
      </c>
      <c r="D29" s="29">
        <f t="shared" si="1"/>
        <v>0</v>
      </c>
      <c r="E29">
        <f>COUNTIF(Vertices[Degree],"&gt;= "&amp;D29)-COUNTIF(Vertices[Degree],"&gt;="&amp;D30)</f>
        <v>0</v>
      </c>
      <c r="F29" s="36">
        <f t="shared" si="2"/>
        <v>19.05882352941176</v>
      </c>
      <c r="G29" s="37">
        <f>COUNTIF(Vertices[In-Degree],"&gt;= "&amp;F29)-COUNTIF(Vertices[In-Degree],"&gt;="&amp;F30)</f>
        <v>0</v>
      </c>
      <c r="H29" s="36">
        <f t="shared" si="3"/>
        <v>19.05882352941176</v>
      </c>
      <c r="I29" s="37">
        <f>COUNTIF(Vertices[Out-Degree],"&gt;= "&amp;H29)-COUNTIF(Vertices[Out-Degree],"&gt;="&amp;H30)</f>
        <v>0</v>
      </c>
      <c r="J29" s="36">
        <f t="shared" si="4"/>
        <v>727.9759289117648</v>
      </c>
      <c r="K29" s="37">
        <f>COUNTIF(Vertices[Betweenness Centrality],"&gt;= "&amp;J29)-COUNTIF(Vertices[Betweenness Centrality],"&gt;="&amp;J30)</f>
        <v>0</v>
      </c>
      <c r="L29" s="36">
        <f t="shared" si="5"/>
        <v>0.4684722352941174</v>
      </c>
      <c r="M29" s="37">
        <f>COUNTIF(Vertices[Closeness Centrality],"&gt;= "&amp;L29)-COUNTIF(Vertices[Closeness Centrality],"&gt;="&amp;L30)</f>
        <v>8</v>
      </c>
      <c r="N29" s="36">
        <f t="shared" si="6"/>
        <v>0.21875558823529404</v>
      </c>
      <c r="O29" s="37">
        <f>COUNTIF(Vertices[Eigenvector Centrality],"&gt;= "&amp;N29)-COUNTIF(Vertices[Eigenvector Centrality],"&gt;="&amp;N30)</f>
        <v>3</v>
      </c>
      <c r="P29" s="36">
        <f t="shared" si="7"/>
        <v>0.012431117647058832</v>
      </c>
      <c r="Q29" s="37">
        <f>COUNTIF(Vertices[PageRank],"&gt;= "&amp;P29)-COUNTIF(Vertices[PageRank],"&gt;="&amp;P30)</f>
        <v>7</v>
      </c>
      <c r="R29" s="36">
        <f t="shared" si="8"/>
        <v>0.3970588235294118</v>
      </c>
      <c r="S29" s="41">
        <f>COUNTIF(Vertices[Clustering Coefficient],"&gt;= "&amp;R29)-COUNTIF(Vertices[Clustering Coefficient],"&gt;="&amp;R30)</f>
        <v>0</v>
      </c>
      <c r="T29" s="36" t="e">
        <f ca="1" t="shared" si="9"/>
        <v>#REF!</v>
      </c>
      <c r="U29" s="37" t="e">
        <f ca="1" t="shared" si="10"/>
        <v>#REF!</v>
      </c>
    </row>
    <row r="30" spans="1:21" ht="15">
      <c r="A30" s="109"/>
      <c r="B30" s="109"/>
      <c r="D30" s="29">
        <f t="shared" si="1"/>
        <v>0</v>
      </c>
      <c r="E30">
        <f>COUNTIF(Vertices[Degree],"&gt;= "&amp;D30)-COUNTIF(Vertices[Degree],"&gt;="&amp;D31)</f>
        <v>0</v>
      </c>
      <c r="F30" s="34">
        <f t="shared" si="2"/>
        <v>19.76470588235294</v>
      </c>
      <c r="G30" s="35">
        <f>COUNTIF(Vertices[In-Degree],"&gt;= "&amp;F30)-COUNTIF(Vertices[In-Degree],"&gt;="&amp;F31)</f>
        <v>0</v>
      </c>
      <c r="H30" s="34">
        <f t="shared" si="3"/>
        <v>19.76470588235294</v>
      </c>
      <c r="I30" s="35">
        <f>COUNTIF(Vertices[Out-Degree],"&gt;= "&amp;H30)-COUNTIF(Vertices[Out-Degree],"&gt;="&amp;H31)</f>
        <v>0</v>
      </c>
      <c r="J30" s="34">
        <f t="shared" si="4"/>
        <v>754.9380003529412</v>
      </c>
      <c r="K30" s="35">
        <f>COUNTIF(Vertices[Betweenness Centrality],"&gt;= "&amp;J30)-COUNTIF(Vertices[Betweenness Centrality],"&gt;="&amp;J31)</f>
        <v>0</v>
      </c>
      <c r="L30" s="34">
        <f t="shared" si="5"/>
        <v>0.48582305882352916</v>
      </c>
      <c r="M30" s="35">
        <f>COUNTIF(Vertices[Closeness Centrality],"&gt;= "&amp;L30)-COUNTIF(Vertices[Closeness Centrality],"&gt;="&amp;L31)</f>
        <v>5</v>
      </c>
      <c r="N30" s="34">
        <f t="shared" si="6"/>
        <v>0.22685764705882344</v>
      </c>
      <c r="O30" s="35">
        <f>COUNTIF(Vertices[Eigenvector Centrality],"&gt;= "&amp;N30)-COUNTIF(Vertices[Eigenvector Centrality],"&gt;="&amp;N31)</f>
        <v>0</v>
      </c>
      <c r="P30" s="34">
        <f t="shared" si="7"/>
        <v>0.012891529411764715</v>
      </c>
      <c r="Q30" s="35">
        <f>COUNTIF(Vertices[PageRank],"&gt;= "&amp;P30)-COUNTIF(Vertices[PageRank],"&gt;="&amp;P31)</f>
        <v>7</v>
      </c>
      <c r="R30" s="34">
        <f t="shared" si="8"/>
        <v>0.411764705882353</v>
      </c>
      <c r="S30" s="40">
        <f>COUNTIF(Vertices[Clustering Coefficient],"&gt;= "&amp;R30)-COUNTIF(Vertices[Clustering Coefficient],"&gt;="&amp;R31)</f>
        <v>0</v>
      </c>
      <c r="T30" s="34" t="e">
        <f ca="1" t="shared" si="9"/>
        <v>#REF!</v>
      </c>
      <c r="U30" s="35" t="e">
        <f ca="1" t="shared" si="10"/>
        <v>#REF!</v>
      </c>
    </row>
    <row r="31" spans="1:21" ht="15">
      <c r="A31" s="31" t="s">
        <v>3402</v>
      </c>
      <c r="B31" s="31" t="s">
        <v>3627</v>
      </c>
      <c r="D31" s="29">
        <f t="shared" si="1"/>
        <v>0</v>
      </c>
      <c r="E31">
        <f>COUNTIF(Vertices[Degree],"&gt;= "&amp;D31)-COUNTIF(Vertices[Degree],"&gt;="&amp;D32)</f>
        <v>0</v>
      </c>
      <c r="F31" s="36">
        <f t="shared" si="2"/>
        <v>20.470588235294116</v>
      </c>
      <c r="G31" s="37">
        <f>COUNTIF(Vertices[In-Degree],"&gt;= "&amp;F31)-COUNTIF(Vertices[In-Degree],"&gt;="&amp;F32)</f>
        <v>0</v>
      </c>
      <c r="H31" s="36">
        <f t="shared" si="3"/>
        <v>20.470588235294116</v>
      </c>
      <c r="I31" s="37">
        <f>COUNTIF(Vertices[Out-Degree],"&gt;= "&amp;H31)-COUNTIF(Vertices[Out-Degree],"&gt;="&amp;H32)</f>
        <v>0</v>
      </c>
      <c r="J31" s="36">
        <f t="shared" si="4"/>
        <v>781.9000717941177</v>
      </c>
      <c r="K31" s="37">
        <f>COUNTIF(Vertices[Betweenness Centrality],"&gt;= "&amp;J31)-COUNTIF(Vertices[Betweenness Centrality],"&gt;="&amp;J32)</f>
        <v>0</v>
      </c>
      <c r="L31" s="36">
        <f t="shared" si="5"/>
        <v>0.5031738823529409</v>
      </c>
      <c r="M31" s="37">
        <f>COUNTIF(Vertices[Closeness Centrality],"&gt;= "&amp;L31)-COUNTIF(Vertices[Closeness Centrality],"&gt;="&amp;L32)</f>
        <v>8</v>
      </c>
      <c r="N31" s="36">
        <f t="shared" si="6"/>
        <v>0.23495970588235285</v>
      </c>
      <c r="O31" s="37">
        <f>COUNTIF(Vertices[Eigenvector Centrality],"&gt;= "&amp;N31)-COUNTIF(Vertices[Eigenvector Centrality],"&gt;="&amp;N32)</f>
        <v>0</v>
      </c>
      <c r="P31" s="36">
        <f t="shared" si="7"/>
        <v>0.013351941176470598</v>
      </c>
      <c r="Q31" s="37">
        <f>COUNTIF(Vertices[PageRank],"&gt;= "&amp;P31)-COUNTIF(Vertices[PageRank],"&gt;="&amp;P32)</f>
        <v>7</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3403</v>
      </c>
      <c r="B32" s="31" t="s">
        <v>3415</v>
      </c>
      <c r="D32" s="29">
        <f t="shared" si="1"/>
        <v>0</v>
      </c>
      <c r="E32">
        <f>COUNTIF(Vertices[Degree],"&gt;= "&amp;D32)-COUNTIF(Vertices[Degree],"&gt;="&amp;D33)</f>
        <v>0</v>
      </c>
      <c r="F32" s="34">
        <f t="shared" si="2"/>
        <v>21.176470588235293</v>
      </c>
      <c r="G32" s="35">
        <f>COUNTIF(Vertices[In-Degree],"&gt;= "&amp;F32)-COUNTIF(Vertices[In-Degree],"&gt;="&amp;F33)</f>
        <v>0</v>
      </c>
      <c r="H32" s="34">
        <f t="shared" si="3"/>
        <v>21.176470588235293</v>
      </c>
      <c r="I32" s="35">
        <f>COUNTIF(Vertices[Out-Degree],"&gt;= "&amp;H32)-COUNTIF(Vertices[Out-Degree],"&gt;="&amp;H33)</f>
        <v>0</v>
      </c>
      <c r="J32" s="34">
        <f t="shared" si="4"/>
        <v>808.8621432352942</v>
      </c>
      <c r="K32" s="35">
        <f>COUNTIF(Vertices[Betweenness Centrality],"&gt;= "&amp;J32)-COUNTIF(Vertices[Betweenness Centrality],"&gt;="&amp;J33)</f>
        <v>0</v>
      </c>
      <c r="L32" s="34">
        <f t="shared" si="5"/>
        <v>0.5205247058823527</v>
      </c>
      <c r="M32" s="35">
        <f>COUNTIF(Vertices[Closeness Centrality],"&gt;= "&amp;L32)-COUNTIF(Vertices[Closeness Centrality],"&gt;="&amp;L33)</f>
        <v>4</v>
      </c>
      <c r="N32" s="34">
        <f t="shared" si="6"/>
        <v>0.24306176470588226</v>
      </c>
      <c r="O32" s="35">
        <f>COUNTIF(Vertices[Eigenvector Centrality],"&gt;= "&amp;N32)-COUNTIF(Vertices[Eigenvector Centrality],"&gt;="&amp;N33)</f>
        <v>0</v>
      </c>
      <c r="P32" s="34">
        <f t="shared" si="7"/>
        <v>0.01381235294117648</v>
      </c>
      <c r="Q32" s="35">
        <f>COUNTIF(Vertices[PageRank],"&gt;= "&amp;P32)-COUNTIF(Vertices[PageRank],"&gt;="&amp;P33)</f>
        <v>5</v>
      </c>
      <c r="R32" s="34">
        <f t="shared" si="8"/>
        <v>0.44117647058823534</v>
      </c>
      <c r="S32" s="40">
        <f>COUNTIF(Vertices[Clustering Coefficient],"&gt;= "&amp;R32)-COUNTIF(Vertices[Clustering Coefficient],"&gt;="&amp;R33)</f>
        <v>1</v>
      </c>
      <c r="T32" s="34" t="e">
        <f ca="1" t="shared" si="9"/>
        <v>#REF!</v>
      </c>
      <c r="U32" s="35" t="e">
        <f ca="1" t="shared" si="10"/>
        <v>#REF!</v>
      </c>
    </row>
    <row r="33" spans="1:21" ht="409.5">
      <c r="A33" s="31" t="s">
        <v>3404</v>
      </c>
      <c r="B33" s="51" t="s">
        <v>3628</v>
      </c>
      <c r="D33" s="29">
        <f t="shared" si="1"/>
        <v>0</v>
      </c>
      <c r="E33">
        <f>COUNTIF(Vertices[Degree],"&gt;= "&amp;D33)-COUNTIF(Vertices[Degree],"&gt;="&amp;D34)</f>
        <v>0</v>
      </c>
      <c r="F33" s="36">
        <f t="shared" si="2"/>
        <v>21.88235294117647</v>
      </c>
      <c r="G33" s="37">
        <f>COUNTIF(Vertices[In-Degree],"&gt;= "&amp;F33)-COUNTIF(Vertices[In-Degree],"&gt;="&amp;F34)</f>
        <v>0</v>
      </c>
      <c r="H33" s="36">
        <f t="shared" si="3"/>
        <v>21.88235294117647</v>
      </c>
      <c r="I33" s="37">
        <f>COUNTIF(Vertices[Out-Degree],"&gt;= "&amp;H33)-COUNTIF(Vertices[Out-Degree],"&gt;="&amp;H34)</f>
        <v>0</v>
      </c>
      <c r="J33" s="36">
        <f t="shared" si="4"/>
        <v>835.8242146764707</v>
      </c>
      <c r="K33" s="37">
        <f>COUNTIF(Vertices[Betweenness Centrality],"&gt;= "&amp;J33)-COUNTIF(Vertices[Betweenness Centrality],"&gt;="&amp;J34)</f>
        <v>0</v>
      </c>
      <c r="L33" s="36">
        <f t="shared" si="5"/>
        <v>0.5378755294117644</v>
      </c>
      <c r="M33" s="37">
        <f>COUNTIF(Vertices[Closeness Centrality],"&gt;= "&amp;L33)-COUNTIF(Vertices[Closeness Centrality],"&gt;="&amp;L34)</f>
        <v>4</v>
      </c>
      <c r="N33" s="36">
        <f t="shared" si="6"/>
        <v>0.2511638235294117</v>
      </c>
      <c r="O33" s="37">
        <f>COUNTIF(Vertices[Eigenvector Centrality],"&gt;= "&amp;N33)-COUNTIF(Vertices[Eigenvector Centrality],"&gt;="&amp;N34)</f>
        <v>0</v>
      </c>
      <c r="P33" s="36">
        <f t="shared" si="7"/>
        <v>0.014272764705882363</v>
      </c>
      <c r="Q33" s="37">
        <f>COUNTIF(Vertices[PageRank],"&gt;= "&amp;P33)-COUNTIF(Vertices[PageRank],"&gt;="&amp;P34)</f>
        <v>1</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3405</v>
      </c>
      <c r="B34" s="31" t="s">
        <v>3629</v>
      </c>
      <c r="D34" s="29">
        <f t="shared" si="1"/>
        <v>0</v>
      </c>
      <c r="E34">
        <f>COUNTIF(Vertices[Degree],"&gt;= "&amp;D34)-COUNTIF(Vertices[Degree],"&gt;="&amp;D35)</f>
        <v>0</v>
      </c>
      <c r="F34" s="34">
        <f t="shared" si="2"/>
        <v>22.58823529411765</v>
      </c>
      <c r="G34" s="35">
        <f>COUNTIF(Vertices[In-Degree],"&gt;= "&amp;F34)-COUNTIF(Vertices[In-Degree],"&gt;="&amp;F35)</f>
        <v>0</v>
      </c>
      <c r="H34" s="34">
        <f t="shared" si="3"/>
        <v>22.58823529411765</v>
      </c>
      <c r="I34" s="35">
        <f>COUNTIF(Vertices[Out-Degree],"&gt;= "&amp;H34)-COUNTIF(Vertices[Out-Degree],"&gt;="&amp;H35)</f>
        <v>1</v>
      </c>
      <c r="J34" s="34">
        <f t="shared" si="4"/>
        <v>862.7862861176471</v>
      </c>
      <c r="K34" s="35">
        <f>COUNTIF(Vertices[Betweenness Centrality],"&gt;= "&amp;J34)-COUNTIF(Vertices[Betweenness Centrality],"&gt;="&amp;J35)</f>
        <v>0</v>
      </c>
      <c r="L34" s="34">
        <f t="shared" si="5"/>
        <v>0.5552263529411762</v>
      </c>
      <c r="M34" s="35">
        <f>COUNTIF(Vertices[Closeness Centrality],"&gt;= "&amp;L34)-COUNTIF(Vertices[Closeness Centrality],"&gt;="&amp;L35)</f>
        <v>0</v>
      </c>
      <c r="N34" s="34">
        <f t="shared" si="6"/>
        <v>0.2592658823529411</v>
      </c>
      <c r="O34" s="35">
        <f>COUNTIF(Vertices[Eigenvector Centrality],"&gt;= "&amp;N34)-COUNTIF(Vertices[Eigenvector Centrality],"&gt;="&amp;N35)</f>
        <v>0</v>
      </c>
      <c r="P34" s="34">
        <f t="shared" si="7"/>
        <v>0.014733176470588246</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3406</v>
      </c>
      <c r="B35" s="31" t="s">
        <v>3416</v>
      </c>
      <c r="D35" s="29">
        <f t="shared" si="1"/>
        <v>0</v>
      </c>
      <c r="E35">
        <f>COUNTIF(Vertices[Degree],"&gt;= "&amp;D35)-COUNTIF(Vertices[Degree],"&gt;="&amp;D36)</f>
        <v>0</v>
      </c>
      <c r="F35" s="36">
        <f t="shared" si="2"/>
        <v>23.294117647058826</v>
      </c>
      <c r="G35" s="37">
        <f>COUNTIF(Vertices[In-Degree],"&gt;= "&amp;F35)-COUNTIF(Vertices[In-Degree],"&gt;="&amp;F36)</f>
        <v>0</v>
      </c>
      <c r="H35" s="36">
        <f t="shared" si="3"/>
        <v>23.294117647058826</v>
      </c>
      <c r="I35" s="37">
        <f>COUNTIF(Vertices[Out-Degree],"&gt;= "&amp;H35)-COUNTIF(Vertices[Out-Degree],"&gt;="&amp;H36)</f>
        <v>0</v>
      </c>
      <c r="J35" s="36">
        <f t="shared" si="4"/>
        <v>889.7483575588236</v>
      </c>
      <c r="K35" s="37">
        <f>COUNTIF(Vertices[Betweenness Centrality],"&gt;= "&amp;J35)-COUNTIF(Vertices[Betweenness Centrality],"&gt;="&amp;J36)</f>
        <v>0</v>
      </c>
      <c r="L35" s="36">
        <f t="shared" si="5"/>
        <v>0.5725771764705879</v>
      </c>
      <c r="M35" s="37">
        <f>COUNTIF(Vertices[Closeness Centrality],"&gt;= "&amp;L35)-COUNTIF(Vertices[Closeness Centrality],"&gt;="&amp;L36)</f>
        <v>0</v>
      </c>
      <c r="N35" s="36">
        <f t="shared" si="6"/>
        <v>0.26736794117647056</v>
      </c>
      <c r="O35" s="37">
        <f>COUNTIF(Vertices[Eigenvector Centrality],"&gt;= "&amp;N35)-COUNTIF(Vertices[Eigenvector Centrality],"&gt;="&amp;N36)</f>
        <v>0</v>
      </c>
      <c r="P35" s="36">
        <f t="shared" si="7"/>
        <v>0.015193588235294129</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3407</v>
      </c>
      <c r="B36" s="31" t="s">
        <v>2183</v>
      </c>
      <c r="D36" s="29">
        <f>MAX(Vertices[Degree])</f>
        <v>0</v>
      </c>
      <c r="E36">
        <f>COUNTIF(Vertices[Degree],"&gt;= "&amp;D36)-COUNTIF(Vertices[Degree],"&gt;="&amp;#REF!)</f>
        <v>0</v>
      </c>
      <c r="F36" s="38">
        <f>MAX(Vertices[In-Degree])</f>
        <v>24</v>
      </c>
      <c r="G36" s="39">
        <f>COUNTIF(Vertices[In-Degree],"&gt;= "&amp;F36)-COUNTIF(Vertices[In-Degree],"&gt;="&amp;#REF!)</f>
        <v>1</v>
      </c>
      <c r="H36" s="38">
        <f>MAX(Vertices[Out-Degree])</f>
        <v>24</v>
      </c>
      <c r="I36" s="39">
        <f>COUNTIF(Vertices[Out-Degree],"&gt;= "&amp;H36)-COUNTIF(Vertices[Out-Degree],"&gt;="&amp;#REF!)</f>
        <v>1</v>
      </c>
      <c r="J36" s="38">
        <f>MAX(Vertices[Betweenness Centrality])</f>
        <v>916.710429</v>
      </c>
      <c r="K36" s="39">
        <f>COUNTIF(Vertices[Betweenness Centrality],"&gt;= "&amp;J36)-COUNTIF(Vertices[Betweenness Centrality],"&gt;="&amp;#REF!)</f>
        <v>1</v>
      </c>
      <c r="L36" s="38">
        <f>MAX(Vertices[Closeness Centrality])</f>
        <v>0.589928</v>
      </c>
      <c r="M36" s="39">
        <f>COUNTIF(Vertices[Closeness Centrality],"&gt;= "&amp;L36)-COUNTIF(Vertices[Closeness Centrality],"&gt;="&amp;#REF!)</f>
        <v>1</v>
      </c>
      <c r="N36" s="38">
        <f>MAX(Vertices[Eigenvector Centrality])</f>
        <v>0.27547</v>
      </c>
      <c r="O36" s="39">
        <f>COUNTIF(Vertices[Eigenvector Centrality],"&gt;= "&amp;N36)-COUNTIF(Vertices[Eigenvector Centrality],"&gt;="&amp;#REF!)</f>
        <v>1</v>
      </c>
      <c r="P36" s="38">
        <f>MAX(Vertices[PageRank])</f>
        <v>0.015654</v>
      </c>
      <c r="Q36" s="39">
        <f>COUNTIF(Vertices[PageRank],"&gt;= "&amp;P36)-COUNTIF(Vertices[PageRank],"&gt;="&amp;#REF!)</f>
        <v>1</v>
      </c>
      <c r="R36" s="38">
        <f>MAX(Vertices[Clustering Coefficient])</f>
        <v>0.5</v>
      </c>
      <c r="S36" s="42">
        <f>COUNTIF(Vertices[Clustering Coefficient],"&gt;= "&amp;R36)-COUNTIF(Vertices[Clustering Coefficient],"&gt;="&amp;#REF!)</f>
        <v>7</v>
      </c>
      <c r="T36" s="38" t="e">
        <f ca="1">MAX(INDIRECT(DynamicFilterSourceColumnRange))</f>
        <v>#REF!</v>
      </c>
      <c r="U36" s="39" t="e">
        <f ca="1">COUNTIF(INDIRECT(DynamicFilterSourceColumnRange),"&gt;= "&amp;T36)-COUNTIF(INDIRECT(DynamicFilterSourceColumnRange),"&gt;="&amp;#REF!)</f>
        <v>#REF!</v>
      </c>
    </row>
    <row r="37" spans="1:2" ht="15">
      <c r="A37" s="31" t="s">
        <v>3408</v>
      </c>
      <c r="B37" s="31" t="s">
        <v>2183</v>
      </c>
    </row>
    <row r="38" spans="1:2" ht="15">
      <c r="A38" s="31" t="s">
        <v>3409</v>
      </c>
      <c r="B38" s="31" t="s">
        <v>2183</v>
      </c>
    </row>
    <row r="39" spans="1:2" ht="15">
      <c r="A39" s="31" t="s">
        <v>3410</v>
      </c>
      <c r="B39" s="31" t="s">
        <v>34</v>
      </c>
    </row>
    <row r="40" spans="1:2" ht="15">
      <c r="A40" s="31" t="s">
        <v>21</v>
      </c>
      <c r="B40" s="31"/>
    </row>
    <row r="41" spans="1:2" ht="15">
      <c r="A41" s="31" t="s">
        <v>3411</v>
      </c>
      <c r="B41" s="31" t="s">
        <v>1734</v>
      </c>
    </row>
    <row r="42" spans="1:2" ht="15">
      <c r="A42" s="31" t="s">
        <v>3412</v>
      </c>
      <c r="B42" s="31"/>
    </row>
    <row r="43" spans="1:2" ht="15">
      <c r="A43" s="31" t="s">
        <v>3413</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24</v>
      </c>
    </row>
    <row r="90" spans="1:2" ht="15">
      <c r="A90" s="30" t="s">
        <v>90</v>
      </c>
      <c r="B90" s="44">
        <f>_xlfn.IFERROR(AVERAGE(Vertices[In-Degree]),NoMetricMessage)</f>
        <v>4.673469387755102</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24</v>
      </c>
    </row>
    <row r="104" spans="1:2" ht="15">
      <c r="A104" s="30" t="s">
        <v>96</v>
      </c>
      <c r="B104" s="44">
        <f>_xlfn.IFERROR(AVERAGE(Vertices[Out-Degree]),NoMetricMessage)</f>
        <v>4.673469387755102</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916.710429</v>
      </c>
    </row>
    <row r="118" spans="1:2" ht="15">
      <c r="A118" s="30" t="s">
        <v>102</v>
      </c>
      <c r="B118" s="44">
        <f>_xlfn.IFERROR(AVERAGE(Vertices[Betweenness Centrality]),NoMetricMessage)</f>
        <v>98.26530611224486</v>
      </c>
    </row>
    <row r="119" spans="1:2" ht="15">
      <c r="A119" s="30" t="s">
        <v>103</v>
      </c>
      <c r="B119" s="44">
        <f>_xlfn.IFERROR(MEDIAN(Vertices[Betweenness Centrality]),NoMetricMessage)</f>
        <v>24.467570000000002</v>
      </c>
    </row>
    <row r="130" spans="1:2" ht="15">
      <c r="A130" s="30" t="s">
        <v>106</v>
      </c>
      <c r="B130" s="44">
        <f>IF(COUNT(Vertices[Closeness Centrality])&gt;0,L2,NoMetricMessage)</f>
        <v>0</v>
      </c>
    </row>
    <row r="131" spans="1:2" ht="15">
      <c r="A131" s="30" t="s">
        <v>107</v>
      </c>
      <c r="B131" s="44">
        <f>IF(COUNT(Vertices[Closeness Centrality])&gt;0,L36,NoMetricMessage)</f>
        <v>0.589928</v>
      </c>
    </row>
    <row r="132" spans="1:2" ht="15">
      <c r="A132" s="30" t="s">
        <v>108</v>
      </c>
      <c r="B132" s="44">
        <f>_xlfn.IFERROR(AVERAGE(Vertices[Closeness Centrality]),NoMetricMessage)</f>
        <v>0.3655305714285712</v>
      </c>
    </row>
    <row r="133" spans="1:2" ht="15">
      <c r="A133" s="30" t="s">
        <v>109</v>
      </c>
      <c r="B133" s="44">
        <f>_xlfn.IFERROR(MEDIAN(Vertices[Closeness Centrality]),NoMetricMessage)</f>
        <v>0.428201</v>
      </c>
    </row>
    <row r="144" spans="1:2" ht="15">
      <c r="A144" s="30" t="s">
        <v>112</v>
      </c>
      <c r="B144" s="44">
        <f>IF(COUNT(Vertices[Eigenvector Centrality])&gt;0,N2,NoMetricMessage)</f>
        <v>0</v>
      </c>
    </row>
    <row r="145" spans="1:2" ht="15">
      <c r="A145" s="30" t="s">
        <v>113</v>
      </c>
      <c r="B145" s="44">
        <f>IF(COUNT(Vertices[Eigenvector Centrality])&gt;0,N36,NoMetricMessage)</f>
        <v>0.27547</v>
      </c>
    </row>
    <row r="146" spans="1:2" ht="15">
      <c r="A146" s="30" t="s">
        <v>114</v>
      </c>
      <c r="B146" s="44">
        <f>_xlfn.IFERROR(AVERAGE(Vertices[Eigenvector Centrality]),NoMetricMessage)</f>
        <v>0.07271617346938777</v>
      </c>
    </row>
    <row r="147" spans="1:2" ht="15">
      <c r="A147" s="30" t="s">
        <v>115</v>
      </c>
      <c r="B147" s="44">
        <f>_xlfn.IFERROR(MEDIAN(Vertices[Eigenvector Centrality]),NoMetricMessage)</f>
        <v>0.057397500000000004</v>
      </c>
    </row>
    <row r="158" spans="1:2" ht="15">
      <c r="A158" s="30" t="s">
        <v>140</v>
      </c>
      <c r="B158" s="44">
        <f>IF(COUNT(Vertices[PageRank])&gt;0,P2,NoMetricMessage)</f>
        <v>0</v>
      </c>
    </row>
    <row r="159" spans="1:2" ht="15">
      <c r="A159" s="30" t="s">
        <v>141</v>
      </c>
      <c r="B159" s="44">
        <f>IF(COUNT(Vertices[PageRank])&gt;0,P36,NoMetricMessage)</f>
        <v>0.015654</v>
      </c>
    </row>
    <row r="160" spans="1:2" ht="15">
      <c r="A160" s="30" t="s">
        <v>142</v>
      </c>
      <c r="B160" s="44">
        <f>_xlfn.IFERROR(AVERAGE(Vertices[PageRank]),NoMetricMessage)</f>
        <v>0.010204051020408162</v>
      </c>
    </row>
    <row r="161" spans="1:2" ht="15">
      <c r="A161" s="30" t="s">
        <v>143</v>
      </c>
      <c r="B161" s="44">
        <f>_xlfn.IFERROR(MEDIAN(Vertices[PageRank]),NoMetricMessage)</f>
        <v>0.011525500000000001</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0.17040052015614895</v>
      </c>
    </row>
    <row r="175" spans="1:2" ht="15">
      <c r="A175" s="30" t="s">
        <v>121</v>
      </c>
      <c r="B175" s="44">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21">
      <selection activeCell="K26" sqref="K26"/>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409.5">
      <c r="D19">
        <v>7</v>
      </c>
      <c r="E19">
        <v>9</v>
      </c>
      <c r="H19">
        <v>7</v>
      </c>
      <c r="J19" t="s">
        <v>186</v>
      </c>
      <c r="K19" s="7" t="s">
        <v>206</v>
      </c>
    </row>
    <row r="20" spans="4:11" ht="409.5">
      <c r="D20">
        <v>8</v>
      </c>
      <c r="H20">
        <v>8</v>
      </c>
      <c r="J20" t="s">
        <v>187</v>
      </c>
      <c r="K20" s="7" t="s">
        <v>3626</v>
      </c>
    </row>
    <row r="21" spans="4:11" ht="409.5">
      <c r="D21">
        <v>9</v>
      </c>
      <c r="H21">
        <v>9</v>
      </c>
      <c r="J21" t="s">
        <v>188</v>
      </c>
      <c r="K21" s="7" t="s">
        <v>3624</v>
      </c>
    </row>
    <row r="22" spans="4:11" ht="409.5">
      <c r="D22">
        <v>10</v>
      </c>
      <c r="J22" t="s">
        <v>189</v>
      </c>
      <c r="K22" s="7" t="s">
        <v>2182</v>
      </c>
    </row>
    <row r="23" spans="4:11" ht="15">
      <c r="D23">
        <v>11</v>
      </c>
      <c r="J23" t="s">
        <v>190</v>
      </c>
      <c r="K23">
        <v>18</v>
      </c>
    </row>
    <row r="24" spans="10:11" ht="15">
      <c r="J24" t="s">
        <v>207</v>
      </c>
      <c r="K24" t="s">
        <v>3625</v>
      </c>
    </row>
    <row r="25" spans="10:11" ht="409.5">
      <c r="J25" t="s">
        <v>208</v>
      </c>
      <c r="K25" s="7" t="s">
        <v>3623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F6442-7AA3-4EC5-88BB-606394E59F68}">
  <dimension ref="A1:G25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2204</v>
      </c>
      <c r="B1" s="7" t="s">
        <v>3365</v>
      </c>
      <c r="C1" s="7" t="s">
        <v>3369</v>
      </c>
      <c r="D1" s="7" t="s">
        <v>144</v>
      </c>
      <c r="E1" s="7" t="s">
        <v>3371</v>
      </c>
      <c r="F1" s="7" t="s">
        <v>3372</v>
      </c>
      <c r="G1" s="7" t="s">
        <v>3373</v>
      </c>
    </row>
    <row r="2" spans="1:7" ht="15">
      <c r="A2" s="77" t="s">
        <v>2205</v>
      </c>
      <c r="B2" s="77" t="s">
        <v>3366</v>
      </c>
      <c r="C2" s="103"/>
      <c r="D2" s="77"/>
      <c r="E2" s="77"/>
      <c r="F2" s="77"/>
      <c r="G2" s="77"/>
    </row>
    <row r="3" spans="1:7" ht="15">
      <c r="A3" s="78" t="s">
        <v>2206</v>
      </c>
      <c r="B3" s="77" t="s">
        <v>3367</v>
      </c>
      <c r="C3" s="103"/>
      <c r="D3" s="77"/>
      <c r="E3" s="77"/>
      <c r="F3" s="77"/>
      <c r="G3" s="77"/>
    </row>
    <row r="4" spans="1:7" ht="15">
      <c r="A4" s="78" t="s">
        <v>2207</v>
      </c>
      <c r="B4" s="77" t="s">
        <v>3368</v>
      </c>
      <c r="C4" s="103"/>
      <c r="D4" s="77"/>
      <c r="E4" s="77"/>
      <c r="F4" s="77"/>
      <c r="G4" s="77"/>
    </row>
    <row r="5" spans="1:7" ht="15">
      <c r="A5" s="78" t="s">
        <v>2208</v>
      </c>
      <c r="B5" s="77">
        <v>272</v>
      </c>
      <c r="C5" s="103">
        <v>0.024797155620384717</v>
      </c>
      <c r="D5" s="77"/>
      <c r="E5" s="77"/>
      <c r="F5" s="77"/>
      <c r="G5" s="77"/>
    </row>
    <row r="6" spans="1:7" ht="15">
      <c r="A6" s="78" t="s">
        <v>2209</v>
      </c>
      <c r="B6" s="77">
        <v>84</v>
      </c>
      <c r="C6" s="103">
        <v>0.007657945118059988</v>
      </c>
      <c r="D6" s="77"/>
      <c r="E6" s="77"/>
      <c r="F6" s="77"/>
      <c r="G6" s="77"/>
    </row>
    <row r="7" spans="1:7" ht="15">
      <c r="A7" s="78" t="s">
        <v>2210</v>
      </c>
      <c r="B7" s="77">
        <v>1</v>
      </c>
      <c r="C7" s="103">
        <v>9.116601331023794E-05</v>
      </c>
      <c r="D7" s="77"/>
      <c r="E7" s="77"/>
      <c r="F7" s="77"/>
      <c r="G7" s="77"/>
    </row>
    <row r="8" spans="1:7" ht="15">
      <c r="A8" s="78" t="s">
        <v>2211</v>
      </c>
      <c r="B8" s="77">
        <v>8014</v>
      </c>
      <c r="C8" s="103">
        <v>0.7306044306682469</v>
      </c>
      <c r="D8" s="77"/>
      <c r="E8" s="77"/>
      <c r="F8" s="77"/>
      <c r="G8" s="77"/>
    </row>
    <row r="9" spans="1:7" ht="15">
      <c r="A9" s="78" t="s">
        <v>2212</v>
      </c>
      <c r="B9" s="77">
        <v>10969</v>
      </c>
      <c r="C9" s="103">
        <v>1</v>
      </c>
      <c r="D9" s="77"/>
      <c r="E9" s="77"/>
      <c r="F9" s="77"/>
      <c r="G9" s="77"/>
    </row>
    <row r="10" spans="1:7" ht="15">
      <c r="A10" s="81" t="s">
        <v>2213</v>
      </c>
      <c r="B10" s="80">
        <v>133</v>
      </c>
      <c r="C10" s="104">
        <v>0.0015219602803252699</v>
      </c>
      <c r="D10" s="80" t="s">
        <v>3370</v>
      </c>
      <c r="E10" s="80" t="b">
        <v>0</v>
      </c>
      <c r="F10" s="80" t="b">
        <v>0</v>
      </c>
      <c r="G10" s="80" t="b">
        <v>0</v>
      </c>
    </row>
    <row r="11" spans="1:7" ht="15">
      <c r="A11" s="81" t="s">
        <v>2214</v>
      </c>
      <c r="B11" s="80">
        <v>114</v>
      </c>
      <c r="C11" s="104">
        <v>0.0020397735385901867</v>
      </c>
      <c r="D11" s="80" t="s">
        <v>3370</v>
      </c>
      <c r="E11" s="80" t="b">
        <v>0</v>
      </c>
      <c r="F11" s="80" t="b">
        <v>0</v>
      </c>
      <c r="G11" s="80" t="b">
        <v>0</v>
      </c>
    </row>
    <row r="12" spans="1:7" ht="15">
      <c r="A12" s="81" t="s">
        <v>2215</v>
      </c>
      <c r="B12" s="80">
        <v>91</v>
      </c>
      <c r="C12" s="104">
        <v>0.0036836903998037833</v>
      </c>
      <c r="D12" s="80" t="s">
        <v>3370</v>
      </c>
      <c r="E12" s="80" t="b">
        <v>0</v>
      </c>
      <c r="F12" s="80" t="b">
        <v>0</v>
      </c>
      <c r="G12" s="80" t="b">
        <v>0</v>
      </c>
    </row>
    <row r="13" spans="1:7" ht="15">
      <c r="A13" s="81" t="s">
        <v>2216</v>
      </c>
      <c r="B13" s="80">
        <v>82</v>
      </c>
      <c r="C13" s="104">
        <v>0.003038735574494119</v>
      </c>
      <c r="D13" s="80" t="s">
        <v>3370</v>
      </c>
      <c r="E13" s="80" t="b">
        <v>0</v>
      </c>
      <c r="F13" s="80" t="b">
        <v>0</v>
      </c>
      <c r="G13" s="80" t="b">
        <v>0</v>
      </c>
    </row>
    <row r="14" spans="1:7" ht="15">
      <c r="A14" s="81" t="s">
        <v>2217</v>
      </c>
      <c r="B14" s="80">
        <v>69</v>
      </c>
      <c r="C14" s="104">
        <v>0.003225000859605947</v>
      </c>
      <c r="D14" s="80" t="s">
        <v>3370</v>
      </c>
      <c r="E14" s="80" t="b">
        <v>0</v>
      </c>
      <c r="F14" s="80" t="b">
        <v>0</v>
      </c>
      <c r="G14" s="80" t="b">
        <v>0</v>
      </c>
    </row>
    <row r="15" spans="1:7" ht="15">
      <c r="A15" s="81" t="s">
        <v>2218</v>
      </c>
      <c r="B15" s="80">
        <v>65</v>
      </c>
      <c r="C15" s="104">
        <v>0.004037247345775365</v>
      </c>
      <c r="D15" s="80" t="s">
        <v>3370</v>
      </c>
      <c r="E15" s="80" t="b">
        <v>0</v>
      </c>
      <c r="F15" s="80" t="b">
        <v>0</v>
      </c>
      <c r="G15" s="80" t="b">
        <v>0</v>
      </c>
    </row>
    <row r="16" spans="1:7" ht="15">
      <c r="A16" s="81" t="s">
        <v>2219</v>
      </c>
      <c r="B16" s="80">
        <v>59</v>
      </c>
      <c r="C16" s="104">
        <v>0.0032690179565757677</v>
      </c>
      <c r="D16" s="80" t="s">
        <v>3370</v>
      </c>
      <c r="E16" s="80" t="b">
        <v>0</v>
      </c>
      <c r="F16" s="80" t="b">
        <v>0</v>
      </c>
      <c r="G16" s="80" t="b">
        <v>0</v>
      </c>
    </row>
    <row r="17" spans="1:7" ht="15">
      <c r="A17" s="81" t="s">
        <v>2220</v>
      </c>
      <c r="B17" s="80">
        <v>59</v>
      </c>
      <c r="C17" s="104">
        <v>0.005299583797851419</v>
      </c>
      <c r="D17" s="80" t="s">
        <v>3370</v>
      </c>
      <c r="E17" s="80" t="b">
        <v>0</v>
      </c>
      <c r="F17" s="80" t="b">
        <v>0</v>
      </c>
      <c r="G17" s="80" t="b">
        <v>0</v>
      </c>
    </row>
    <row r="18" spans="1:7" ht="15">
      <c r="A18" s="81" t="s">
        <v>2221</v>
      </c>
      <c r="B18" s="80">
        <v>53</v>
      </c>
      <c r="C18" s="104">
        <v>0.0020232031388260096</v>
      </c>
      <c r="D18" s="80" t="s">
        <v>3370</v>
      </c>
      <c r="E18" s="80" t="b">
        <v>0</v>
      </c>
      <c r="F18" s="80" t="b">
        <v>0</v>
      </c>
      <c r="G18" s="80" t="b">
        <v>0</v>
      </c>
    </row>
    <row r="19" spans="1:7" ht="15">
      <c r="A19" s="81" t="s">
        <v>2222</v>
      </c>
      <c r="B19" s="80">
        <v>51</v>
      </c>
      <c r="C19" s="104">
        <v>0.0017796693911067854</v>
      </c>
      <c r="D19" s="80" t="s">
        <v>3370</v>
      </c>
      <c r="E19" s="80" t="b">
        <v>0</v>
      </c>
      <c r="F19" s="80" t="b">
        <v>0</v>
      </c>
      <c r="G19" s="80" t="b">
        <v>0</v>
      </c>
    </row>
    <row r="20" spans="1:7" ht="15">
      <c r="A20" s="81" t="s">
        <v>2223</v>
      </c>
      <c r="B20" s="80">
        <v>51</v>
      </c>
      <c r="C20" s="104">
        <v>0.004429741353016652</v>
      </c>
      <c r="D20" s="80" t="s">
        <v>3370</v>
      </c>
      <c r="E20" s="80" t="b">
        <v>0</v>
      </c>
      <c r="F20" s="80" t="b">
        <v>0</v>
      </c>
      <c r="G20" s="80" t="b">
        <v>0</v>
      </c>
    </row>
    <row r="21" spans="1:7" ht="15">
      <c r="A21" s="81" t="s">
        <v>2224</v>
      </c>
      <c r="B21" s="80">
        <v>50</v>
      </c>
      <c r="C21" s="104">
        <v>0.0017982675965590275</v>
      </c>
      <c r="D21" s="80" t="s">
        <v>3370</v>
      </c>
      <c r="E21" s="80" t="b">
        <v>0</v>
      </c>
      <c r="F21" s="80" t="b">
        <v>0</v>
      </c>
      <c r="G21" s="80" t="b">
        <v>0</v>
      </c>
    </row>
    <row r="22" spans="1:7" ht="15">
      <c r="A22" s="81" t="s">
        <v>2225</v>
      </c>
      <c r="B22" s="80">
        <v>48</v>
      </c>
      <c r="C22" s="104">
        <v>0.001887075092554694</v>
      </c>
      <c r="D22" s="80" t="s">
        <v>3370</v>
      </c>
      <c r="E22" s="80" t="b">
        <v>0</v>
      </c>
      <c r="F22" s="80" t="b">
        <v>0</v>
      </c>
      <c r="G22" s="80" t="b">
        <v>0</v>
      </c>
    </row>
    <row r="23" spans="1:7" ht="15">
      <c r="A23" s="81" t="s">
        <v>2226</v>
      </c>
      <c r="B23" s="80">
        <v>47</v>
      </c>
      <c r="C23" s="104">
        <v>0.002260085891501749</v>
      </c>
      <c r="D23" s="80" t="s">
        <v>3370</v>
      </c>
      <c r="E23" s="80" t="b">
        <v>0</v>
      </c>
      <c r="F23" s="80" t="b">
        <v>0</v>
      </c>
      <c r="G23" s="80" t="b">
        <v>0</v>
      </c>
    </row>
    <row r="24" spans="1:7" ht="15">
      <c r="A24" s="81" t="s">
        <v>2227</v>
      </c>
      <c r="B24" s="80">
        <v>44</v>
      </c>
      <c r="C24" s="104">
        <v>0.005977971385079296</v>
      </c>
      <c r="D24" s="80" t="s">
        <v>3370</v>
      </c>
      <c r="E24" s="80" t="b">
        <v>0</v>
      </c>
      <c r="F24" s="80" t="b">
        <v>0</v>
      </c>
      <c r="G24" s="80" t="b">
        <v>0</v>
      </c>
    </row>
    <row r="25" spans="1:7" ht="15">
      <c r="A25" s="81" t="s">
        <v>2228</v>
      </c>
      <c r="B25" s="80">
        <v>42</v>
      </c>
      <c r="C25" s="104">
        <v>0.0039047016148283193</v>
      </c>
      <c r="D25" s="80" t="s">
        <v>3370</v>
      </c>
      <c r="E25" s="80" t="b">
        <v>0</v>
      </c>
      <c r="F25" s="80" t="b">
        <v>0</v>
      </c>
      <c r="G25" s="80" t="b">
        <v>0</v>
      </c>
    </row>
    <row r="26" spans="1:7" ht="15">
      <c r="A26" s="81" t="s">
        <v>2229</v>
      </c>
      <c r="B26" s="80">
        <v>41</v>
      </c>
      <c r="C26" s="104">
        <v>0.003682761622235732</v>
      </c>
      <c r="D26" s="80" t="s">
        <v>3370</v>
      </c>
      <c r="E26" s="80" t="b">
        <v>0</v>
      </c>
      <c r="F26" s="80" t="b">
        <v>0</v>
      </c>
      <c r="G26" s="80" t="b">
        <v>0</v>
      </c>
    </row>
    <row r="27" spans="1:7" ht="15">
      <c r="A27" s="81" t="s">
        <v>2230</v>
      </c>
      <c r="B27" s="80">
        <v>41</v>
      </c>
      <c r="C27" s="104">
        <v>0.0026985909467268604</v>
      </c>
      <c r="D27" s="80" t="s">
        <v>3370</v>
      </c>
      <c r="E27" s="80" t="b">
        <v>0</v>
      </c>
      <c r="F27" s="80" t="b">
        <v>0</v>
      </c>
      <c r="G27" s="80" t="b">
        <v>0</v>
      </c>
    </row>
    <row r="28" spans="1:7" ht="15">
      <c r="A28" s="81" t="s">
        <v>2231</v>
      </c>
      <c r="B28" s="80">
        <v>38</v>
      </c>
      <c r="C28" s="104">
        <v>0.003660076345446561</v>
      </c>
      <c r="D28" s="80" t="s">
        <v>3370</v>
      </c>
      <c r="E28" s="80" t="b">
        <v>0</v>
      </c>
      <c r="F28" s="80" t="b">
        <v>0</v>
      </c>
      <c r="G28" s="80" t="b">
        <v>0</v>
      </c>
    </row>
    <row r="29" spans="1:7" ht="15">
      <c r="A29" s="81" t="s">
        <v>2232</v>
      </c>
      <c r="B29" s="80">
        <v>34</v>
      </c>
      <c r="C29" s="104">
        <v>0.0027672881804982033</v>
      </c>
      <c r="D29" s="80" t="s">
        <v>3370</v>
      </c>
      <c r="E29" s="80" t="b">
        <v>0</v>
      </c>
      <c r="F29" s="80" t="b">
        <v>0</v>
      </c>
      <c r="G29" s="80" t="b">
        <v>0</v>
      </c>
    </row>
    <row r="30" spans="1:7" ht="15">
      <c r="A30" s="81" t="s">
        <v>2233</v>
      </c>
      <c r="B30" s="80">
        <v>34</v>
      </c>
      <c r="C30" s="104">
        <v>0.0018311754771694925</v>
      </c>
      <c r="D30" s="80" t="s">
        <v>3370</v>
      </c>
      <c r="E30" s="80" t="b">
        <v>0</v>
      </c>
      <c r="F30" s="80" t="b">
        <v>0</v>
      </c>
      <c r="G30" s="80" t="b">
        <v>0</v>
      </c>
    </row>
    <row r="31" spans="1:7" ht="15">
      <c r="A31" s="81" t="s">
        <v>2234</v>
      </c>
      <c r="B31" s="80">
        <v>34</v>
      </c>
      <c r="C31" s="104">
        <v>0.002111790919328652</v>
      </c>
      <c r="D31" s="80" t="s">
        <v>3370</v>
      </c>
      <c r="E31" s="80" t="b">
        <v>0</v>
      </c>
      <c r="F31" s="80" t="b">
        <v>0</v>
      </c>
      <c r="G31" s="80" t="b">
        <v>0</v>
      </c>
    </row>
    <row r="32" spans="1:7" ht="15">
      <c r="A32" s="81" t="s">
        <v>2235</v>
      </c>
      <c r="B32" s="80">
        <v>32</v>
      </c>
      <c r="C32" s="104">
        <v>0.00252349606042781</v>
      </c>
      <c r="D32" s="80" t="s">
        <v>3370</v>
      </c>
      <c r="E32" s="80" t="b">
        <v>0</v>
      </c>
      <c r="F32" s="80" t="b">
        <v>0</v>
      </c>
      <c r="G32" s="80" t="b">
        <v>0</v>
      </c>
    </row>
    <row r="33" spans="1:7" ht="15">
      <c r="A33" s="81" t="s">
        <v>2236</v>
      </c>
      <c r="B33" s="80">
        <v>32</v>
      </c>
      <c r="C33" s="104">
        <v>0.0023724478739191417</v>
      </c>
      <c r="D33" s="80" t="s">
        <v>3370</v>
      </c>
      <c r="E33" s="80" t="b">
        <v>0</v>
      </c>
      <c r="F33" s="80" t="b">
        <v>0</v>
      </c>
      <c r="G33" s="80" t="b">
        <v>0</v>
      </c>
    </row>
    <row r="34" spans="1:7" ht="15">
      <c r="A34" s="81" t="s">
        <v>2237</v>
      </c>
      <c r="B34" s="80">
        <v>31</v>
      </c>
      <c r="C34" s="104">
        <v>0.0030968266568938163</v>
      </c>
      <c r="D34" s="80" t="s">
        <v>3370</v>
      </c>
      <c r="E34" s="80" t="b">
        <v>0</v>
      </c>
      <c r="F34" s="80" t="b">
        <v>0</v>
      </c>
      <c r="G34" s="80" t="b">
        <v>0</v>
      </c>
    </row>
    <row r="35" spans="1:7" ht="15">
      <c r="A35" s="81" t="s">
        <v>2238</v>
      </c>
      <c r="B35" s="80">
        <v>31</v>
      </c>
      <c r="C35" s="104">
        <v>0.002444636808539441</v>
      </c>
      <c r="D35" s="80" t="s">
        <v>3370</v>
      </c>
      <c r="E35" s="80" t="b">
        <v>0</v>
      </c>
      <c r="F35" s="80" t="b">
        <v>0</v>
      </c>
      <c r="G35" s="80" t="b">
        <v>0</v>
      </c>
    </row>
    <row r="36" spans="1:7" ht="15">
      <c r="A36" s="81" t="s">
        <v>2239</v>
      </c>
      <c r="B36" s="80">
        <v>29</v>
      </c>
      <c r="C36" s="104">
        <v>0.003008543433841006</v>
      </c>
      <c r="D36" s="80" t="s">
        <v>3370</v>
      </c>
      <c r="E36" s="80" t="b">
        <v>0</v>
      </c>
      <c r="F36" s="80" t="b">
        <v>0</v>
      </c>
      <c r="G36" s="80" t="b">
        <v>0</v>
      </c>
    </row>
    <row r="37" spans="1:7" ht="15">
      <c r="A37" s="81" t="s">
        <v>2240</v>
      </c>
      <c r="B37" s="80">
        <v>29</v>
      </c>
      <c r="C37" s="104">
        <v>0.0018012334311920857</v>
      </c>
      <c r="D37" s="80" t="s">
        <v>3370</v>
      </c>
      <c r="E37" s="80" t="b">
        <v>0</v>
      </c>
      <c r="F37" s="80" t="b">
        <v>0</v>
      </c>
      <c r="G37" s="80" t="b">
        <v>0</v>
      </c>
    </row>
    <row r="38" spans="1:7" ht="15">
      <c r="A38" s="81" t="s">
        <v>2241</v>
      </c>
      <c r="B38" s="80">
        <v>28</v>
      </c>
      <c r="C38" s="104">
        <v>0.0027971337546137697</v>
      </c>
      <c r="D38" s="80" t="s">
        <v>3370</v>
      </c>
      <c r="E38" s="80" t="b">
        <v>0</v>
      </c>
      <c r="F38" s="80" t="b">
        <v>0</v>
      </c>
      <c r="G38" s="80" t="b">
        <v>0</v>
      </c>
    </row>
    <row r="39" spans="1:7" ht="15">
      <c r="A39" s="81" t="s">
        <v>2242</v>
      </c>
      <c r="B39" s="80">
        <v>28</v>
      </c>
      <c r="C39" s="104">
        <v>0.0025150567176244025</v>
      </c>
      <c r="D39" s="80" t="s">
        <v>3370</v>
      </c>
      <c r="E39" s="80" t="b">
        <v>0</v>
      </c>
      <c r="F39" s="80" t="b">
        <v>0</v>
      </c>
      <c r="G39" s="80" t="b">
        <v>0</v>
      </c>
    </row>
    <row r="40" spans="1:7" ht="15">
      <c r="A40" s="81" t="s">
        <v>2243</v>
      </c>
      <c r="B40" s="80">
        <v>28</v>
      </c>
      <c r="C40" s="104">
        <v>0.0026031344098855465</v>
      </c>
      <c r="D40" s="80" t="s">
        <v>3370</v>
      </c>
      <c r="E40" s="80" t="b">
        <v>0</v>
      </c>
      <c r="F40" s="80" t="b">
        <v>0</v>
      </c>
      <c r="G40" s="80" t="b">
        <v>0</v>
      </c>
    </row>
    <row r="41" spans="1:7" ht="15">
      <c r="A41" s="81" t="s">
        <v>2244</v>
      </c>
      <c r="B41" s="80">
        <v>28</v>
      </c>
      <c r="C41" s="104">
        <v>0.0027971337546137697</v>
      </c>
      <c r="D41" s="80" t="s">
        <v>3370</v>
      </c>
      <c r="E41" s="80" t="b">
        <v>0</v>
      </c>
      <c r="F41" s="80" t="b">
        <v>0</v>
      </c>
      <c r="G41" s="80" t="b">
        <v>0</v>
      </c>
    </row>
    <row r="42" spans="1:7" ht="15">
      <c r="A42" s="81" t="s">
        <v>2245</v>
      </c>
      <c r="B42" s="80">
        <v>26</v>
      </c>
      <c r="C42" s="104">
        <v>0.0035324376366377658</v>
      </c>
      <c r="D42" s="80" t="s">
        <v>3370</v>
      </c>
      <c r="E42" s="80" t="b">
        <v>0</v>
      </c>
      <c r="F42" s="80" t="b">
        <v>0</v>
      </c>
      <c r="G42" s="80" t="b">
        <v>0</v>
      </c>
    </row>
    <row r="43" spans="1:7" ht="15">
      <c r="A43" s="81" t="s">
        <v>2246</v>
      </c>
      <c r="B43" s="80">
        <v>25</v>
      </c>
      <c r="C43" s="104">
        <v>0.0021714418397140453</v>
      </c>
      <c r="D43" s="80" t="s">
        <v>3370</v>
      </c>
      <c r="E43" s="80" t="b">
        <v>0</v>
      </c>
      <c r="F43" s="80" t="b">
        <v>0</v>
      </c>
      <c r="G43" s="80" t="b">
        <v>0</v>
      </c>
    </row>
    <row r="44" spans="1:7" ht="15">
      <c r="A44" s="81" t="s">
        <v>2247</v>
      </c>
      <c r="B44" s="80">
        <v>25</v>
      </c>
      <c r="C44" s="104">
        <v>0.0020347707209545617</v>
      </c>
      <c r="D44" s="80" t="s">
        <v>3370</v>
      </c>
      <c r="E44" s="80" t="b">
        <v>0</v>
      </c>
      <c r="F44" s="80" t="b">
        <v>0</v>
      </c>
      <c r="G44" s="80" t="b">
        <v>0</v>
      </c>
    </row>
    <row r="45" spans="1:7" ht="15">
      <c r="A45" s="81" t="s">
        <v>2248</v>
      </c>
      <c r="B45" s="80">
        <v>24</v>
      </c>
      <c r="C45" s="104">
        <v>0.002311627165545196</v>
      </c>
      <c r="D45" s="80" t="s">
        <v>3370</v>
      </c>
      <c r="E45" s="80" t="b">
        <v>0</v>
      </c>
      <c r="F45" s="80" t="b">
        <v>0</v>
      </c>
      <c r="G45" s="80" t="b">
        <v>0</v>
      </c>
    </row>
    <row r="46" spans="1:7" ht="15">
      <c r="A46" s="81" t="s">
        <v>2249</v>
      </c>
      <c r="B46" s="80">
        <v>23</v>
      </c>
      <c r="C46" s="104">
        <v>0.0019977264925369214</v>
      </c>
      <c r="D46" s="80" t="s">
        <v>3370</v>
      </c>
      <c r="E46" s="80" t="b">
        <v>0</v>
      </c>
      <c r="F46" s="80" t="b">
        <v>0</v>
      </c>
      <c r="G46" s="80" t="b">
        <v>0</v>
      </c>
    </row>
    <row r="47" spans="1:7" ht="15">
      <c r="A47" s="81" t="s">
        <v>2250</v>
      </c>
      <c r="B47" s="80">
        <v>23</v>
      </c>
      <c r="C47" s="104">
        <v>0.0021382889795488413</v>
      </c>
      <c r="D47" s="80" t="s">
        <v>3370</v>
      </c>
      <c r="E47" s="80" t="b">
        <v>0</v>
      </c>
      <c r="F47" s="80" t="b">
        <v>0</v>
      </c>
      <c r="G47" s="80" t="b">
        <v>0</v>
      </c>
    </row>
    <row r="48" spans="1:7" ht="15">
      <c r="A48" s="81" t="s">
        <v>2251</v>
      </c>
      <c r="B48" s="80">
        <v>22</v>
      </c>
      <c r="C48" s="104">
        <v>0.0021977479500536762</v>
      </c>
      <c r="D48" s="80" t="s">
        <v>3370</v>
      </c>
      <c r="E48" s="80" t="b">
        <v>0</v>
      </c>
      <c r="F48" s="80" t="b">
        <v>0</v>
      </c>
      <c r="G48" s="80" t="b">
        <v>0</v>
      </c>
    </row>
    <row r="49" spans="1:7" ht="15">
      <c r="A49" s="81" t="s">
        <v>2252</v>
      </c>
      <c r="B49" s="80">
        <v>22</v>
      </c>
      <c r="C49" s="104">
        <v>0.00211899156841643</v>
      </c>
      <c r="D49" s="80" t="s">
        <v>3370</v>
      </c>
      <c r="E49" s="80" t="b">
        <v>0</v>
      </c>
      <c r="F49" s="80" t="b">
        <v>0</v>
      </c>
      <c r="G49" s="80" t="b">
        <v>0</v>
      </c>
    </row>
    <row r="50" spans="1:7" ht="15">
      <c r="A50" s="81" t="s">
        <v>2253</v>
      </c>
      <c r="B50" s="80">
        <v>22</v>
      </c>
      <c r="C50" s="104">
        <v>0.0019761159924191734</v>
      </c>
      <c r="D50" s="80" t="s">
        <v>3370</v>
      </c>
      <c r="E50" s="80" t="b">
        <v>0</v>
      </c>
      <c r="F50" s="80" t="b">
        <v>0</v>
      </c>
      <c r="G50" s="80" t="b">
        <v>0</v>
      </c>
    </row>
    <row r="51" spans="1:7" ht="15">
      <c r="A51" s="81" t="s">
        <v>2254</v>
      </c>
      <c r="B51" s="80">
        <v>22</v>
      </c>
      <c r="C51" s="104">
        <v>0.001790598234440014</v>
      </c>
      <c r="D51" s="80" t="s">
        <v>3370</v>
      </c>
      <c r="E51" s="80" t="b">
        <v>0</v>
      </c>
      <c r="F51" s="80" t="b">
        <v>0</v>
      </c>
      <c r="G51" s="80" t="b">
        <v>0</v>
      </c>
    </row>
    <row r="52" spans="1:7" ht="15">
      <c r="A52" s="81" t="s">
        <v>2255</v>
      </c>
      <c r="B52" s="80">
        <v>21</v>
      </c>
      <c r="C52" s="104">
        <v>0.002579283535914589</v>
      </c>
      <c r="D52" s="80" t="s">
        <v>3370</v>
      </c>
      <c r="E52" s="80" t="b">
        <v>1</v>
      </c>
      <c r="F52" s="80" t="b">
        <v>0</v>
      </c>
      <c r="G52" s="80" t="b">
        <v>0</v>
      </c>
    </row>
    <row r="53" spans="1:7" ht="15">
      <c r="A53" s="81" t="s">
        <v>2256</v>
      </c>
      <c r="B53" s="80">
        <v>21</v>
      </c>
      <c r="C53" s="104">
        <v>0.0017650980016513176</v>
      </c>
      <c r="D53" s="80" t="s">
        <v>3370</v>
      </c>
      <c r="E53" s="80" t="b">
        <v>0</v>
      </c>
      <c r="F53" s="80" t="b">
        <v>0</v>
      </c>
      <c r="G53" s="80" t="b">
        <v>0</v>
      </c>
    </row>
    <row r="54" spans="1:7" ht="15">
      <c r="A54" s="81" t="s">
        <v>2257</v>
      </c>
      <c r="B54" s="80">
        <v>21</v>
      </c>
      <c r="C54" s="104">
        <v>0.001824011145359798</v>
      </c>
      <c r="D54" s="80" t="s">
        <v>3370</v>
      </c>
      <c r="E54" s="80" t="b">
        <v>0</v>
      </c>
      <c r="F54" s="80" t="b">
        <v>0</v>
      </c>
      <c r="G54" s="80" t="b">
        <v>0</v>
      </c>
    </row>
    <row r="55" spans="1:7" ht="15">
      <c r="A55" s="81" t="s">
        <v>2258</v>
      </c>
      <c r="B55" s="80">
        <v>21</v>
      </c>
      <c r="C55" s="104">
        <v>0.0020226737698520467</v>
      </c>
      <c r="D55" s="80" t="s">
        <v>3370</v>
      </c>
      <c r="E55" s="80" t="b">
        <v>0</v>
      </c>
      <c r="F55" s="80" t="b">
        <v>0</v>
      </c>
      <c r="G55" s="80" t="b">
        <v>0</v>
      </c>
    </row>
    <row r="56" spans="1:7" ht="15">
      <c r="A56" s="81" t="s">
        <v>2259</v>
      </c>
      <c r="B56" s="80">
        <v>20</v>
      </c>
      <c r="C56" s="104">
        <v>0.0027172597204905887</v>
      </c>
      <c r="D56" s="80" t="s">
        <v>3370</v>
      </c>
      <c r="E56" s="80" t="b">
        <v>0</v>
      </c>
      <c r="F56" s="80" t="b">
        <v>0</v>
      </c>
      <c r="G56" s="80" t="b">
        <v>0</v>
      </c>
    </row>
    <row r="57" spans="1:7" ht="15">
      <c r="A57" s="81" t="s">
        <v>2260</v>
      </c>
      <c r="B57" s="80">
        <v>20</v>
      </c>
      <c r="C57" s="104">
        <v>0.001997952681866978</v>
      </c>
      <c r="D57" s="80" t="s">
        <v>3370</v>
      </c>
      <c r="E57" s="80" t="b">
        <v>0</v>
      </c>
      <c r="F57" s="80" t="b">
        <v>0</v>
      </c>
      <c r="G57" s="80" t="b">
        <v>0</v>
      </c>
    </row>
    <row r="58" spans="1:7" ht="15">
      <c r="A58" s="81" t="s">
        <v>2261</v>
      </c>
      <c r="B58" s="80">
        <v>19</v>
      </c>
      <c r="C58" s="104">
        <v>0.0018980550477736293</v>
      </c>
      <c r="D58" s="80" t="s">
        <v>3370</v>
      </c>
      <c r="E58" s="80" t="b">
        <v>1</v>
      </c>
      <c r="F58" s="80" t="b">
        <v>0</v>
      </c>
      <c r="G58" s="80" t="b">
        <v>0</v>
      </c>
    </row>
    <row r="59" spans="1:7" ht="15">
      <c r="A59" s="81" t="s">
        <v>2262</v>
      </c>
      <c r="B59" s="80">
        <v>19</v>
      </c>
      <c r="C59" s="104">
        <v>0.0031330960086643385</v>
      </c>
      <c r="D59" s="80" t="s">
        <v>3370</v>
      </c>
      <c r="E59" s="80" t="b">
        <v>0</v>
      </c>
      <c r="F59" s="80" t="b">
        <v>0</v>
      </c>
      <c r="G59" s="80" t="b">
        <v>0</v>
      </c>
    </row>
    <row r="60" spans="1:7" ht="15">
      <c r="A60" s="81" t="s">
        <v>2263</v>
      </c>
      <c r="B60" s="80">
        <v>19</v>
      </c>
      <c r="C60" s="104">
        <v>0.0018300381727232805</v>
      </c>
      <c r="D60" s="80" t="s">
        <v>3370</v>
      </c>
      <c r="E60" s="80" t="b">
        <v>0</v>
      </c>
      <c r="F60" s="80" t="b">
        <v>0</v>
      </c>
      <c r="G60" s="80" t="b">
        <v>0</v>
      </c>
    </row>
    <row r="61" spans="1:7" ht="15">
      <c r="A61" s="81" t="s">
        <v>2264</v>
      </c>
      <c r="B61" s="80">
        <v>18</v>
      </c>
      <c r="C61" s="104">
        <v>0.0021124112538485344</v>
      </c>
      <c r="D61" s="80" t="s">
        <v>3370</v>
      </c>
      <c r="E61" s="80" t="b">
        <v>0</v>
      </c>
      <c r="F61" s="80" t="b">
        <v>0</v>
      </c>
      <c r="G61" s="80" t="b">
        <v>0</v>
      </c>
    </row>
    <row r="62" spans="1:7" ht="15">
      <c r="A62" s="81" t="s">
        <v>2265</v>
      </c>
      <c r="B62" s="80">
        <v>18</v>
      </c>
      <c r="C62" s="104">
        <v>0.0021124112538485344</v>
      </c>
      <c r="D62" s="80" t="s">
        <v>3370</v>
      </c>
      <c r="E62" s="80" t="b">
        <v>0</v>
      </c>
      <c r="F62" s="80" t="b">
        <v>0</v>
      </c>
      <c r="G62" s="80" t="b">
        <v>0</v>
      </c>
    </row>
    <row r="63" spans="1:7" ht="15">
      <c r="A63" s="81" t="s">
        <v>2266</v>
      </c>
      <c r="B63" s="80">
        <v>18</v>
      </c>
      <c r="C63" s="104">
        <v>0.0018673717865220036</v>
      </c>
      <c r="D63" s="80" t="s">
        <v>3370</v>
      </c>
      <c r="E63" s="80" t="b">
        <v>0</v>
      </c>
      <c r="F63" s="80" t="b">
        <v>0</v>
      </c>
      <c r="G63" s="80" t="b">
        <v>0</v>
      </c>
    </row>
    <row r="64" spans="1:7" ht="15">
      <c r="A64" s="81" t="s">
        <v>2267</v>
      </c>
      <c r="B64" s="80">
        <v>18</v>
      </c>
      <c r="C64" s="104">
        <v>0.0019421290042837495</v>
      </c>
      <c r="D64" s="80" t="s">
        <v>3370</v>
      </c>
      <c r="E64" s="80" t="b">
        <v>0</v>
      </c>
      <c r="F64" s="80" t="b">
        <v>0</v>
      </c>
      <c r="G64" s="80" t="b">
        <v>0</v>
      </c>
    </row>
    <row r="65" spans="1:7" ht="15">
      <c r="A65" s="81" t="s">
        <v>2268</v>
      </c>
      <c r="B65" s="80">
        <v>17</v>
      </c>
      <c r="C65" s="104">
        <v>0.0017636289094930034</v>
      </c>
      <c r="D65" s="80" t="s">
        <v>3370</v>
      </c>
      <c r="E65" s="80" t="b">
        <v>0</v>
      </c>
      <c r="F65" s="80" t="b">
        <v>0</v>
      </c>
      <c r="G65" s="80" t="b">
        <v>0</v>
      </c>
    </row>
    <row r="66" spans="1:7" ht="15">
      <c r="A66" s="81" t="s">
        <v>2269</v>
      </c>
      <c r="B66" s="80">
        <v>17</v>
      </c>
      <c r="C66" s="104">
        <v>0.0018342329484902077</v>
      </c>
      <c r="D66" s="80" t="s">
        <v>3370</v>
      </c>
      <c r="E66" s="80" t="b">
        <v>0</v>
      </c>
      <c r="F66" s="80" t="b">
        <v>0</v>
      </c>
      <c r="G66" s="80" t="b">
        <v>0</v>
      </c>
    </row>
    <row r="67" spans="1:7" ht="15">
      <c r="A67" s="81" t="s">
        <v>2270</v>
      </c>
      <c r="B67" s="80">
        <v>17</v>
      </c>
      <c r="C67" s="104">
        <v>0.001637402575594514</v>
      </c>
      <c r="D67" s="80" t="s">
        <v>3370</v>
      </c>
      <c r="E67" s="80" t="b">
        <v>0</v>
      </c>
      <c r="F67" s="80" t="b">
        <v>0</v>
      </c>
      <c r="G67" s="80" t="b">
        <v>0</v>
      </c>
    </row>
    <row r="68" spans="1:7" ht="15">
      <c r="A68" s="81" t="s">
        <v>2271</v>
      </c>
      <c r="B68" s="80">
        <v>17</v>
      </c>
      <c r="C68" s="104">
        <v>0.0015804744631447959</v>
      </c>
      <c r="D68" s="80" t="s">
        <v>3370</v>
      </c>
      <c r="E68" s="80" t="b">
        <v>0</v>
      </c>
      <c r="F68" s="80" t="b">
        <v>0</v>
      </c>
      <c r="G68" s="80" t="b">
        <v>0</v>
      </c>
    </row>
    <row r="69" spans="1:7" ht="15">
      <c r="A69" s="81" t="s">
        <v>2272</v>
      </c>
      <c r="B69" s="80">
        <v>17</v>
      </c>
      <c r="C69" s="104">
        <v>0.0021918854459748653</v>
      </c>
      <c r="D69" s="80" t="s">
        <v>3370</v>
      </c>
      <c r="E69" s="80" t="b">
        <v>0</v>
      </c>
      <c r="F69" s="80" t="b">
        <v>0</v>
      </c>
      <c r="G69" s="80" t="b">
        <v>0</v>
      </c>
    </row>
    <row r="70" spans="1:7" ht="15">
      <c r="A70" s="81" t="s">
        <v>2273</v>
      </c>
      <c r="B70" s="80">
        <v>17</v>
      </c>
      <c r="C70" s="104">
        <v>0.0017636289094930034</v>
      </c>
      <c r="D70" s="80" t="s">
        <v>3370</v>
      </c>
      <c r="E70" s="80" t="b">
        <v>1</v>
      </c>
      <c r="F70" s="80" t="b">
        <v>0</v>
      </c>
      <c r="G70" s="80" t="b">
        <v>0</v>
      </c>
    </row>
    <row r="71" spans="1:7" ht="15">
      <c r="A71" s="81" t="s">
        <v>2274</v>
      </c>
      <c r="B71" s="80">
        <v>16</v>
      </c>
      <c r="C71" s="104">
        <v>0.0017263368926966661</v>
      </c>
      <c r="D71" s="80" t="s">
        <v>3370</v>
      </c>
      <c r="E71" s="80" t="b">
        <v>0</v>
      </c>
      <c r="F71" s="80" t="b">
        <v>0</v>
      </c>
      <c r="G71" s="80" t="b">
        <v>0</v>
      </c>
    </row>
    <row r="72" spans="1:7" ht="15">
      <c r="A72" s="81" t="s">
        <v>2275</v>
      </c>
      <c r="B72" s="80">
        <v>16</v>
      </c>
      <c r="C72" s="104">
        <v>0.0015410847770301309</v>
      </c>
      <c r="D72" s="80" t="s">
        <v>3370</v>
      </c>
      <c r="E72" s="80" t="b">
        <v>0</v>
      </c>
      <c r="F72" s="80" t="b">
        <v>0</v>
      </c>
      <c r="G72" s="80" t="b">
        <v>0</v>
      </c>
    </row>
    <row r="73" spans="1:7" ht="15">
      <c r="A73" s="81" t="s">
        <v>2276</v>
      </c>
      <c r="B73" s="80">
        <v>16</v>
      </c>
      <c r="C73" s="104">
        <v>0.002301782523595555</v>
      </c>
      <c r="D73" s="80" t="s">
        <v>3370</v>
      </c>
      <c r="E73" s="80" t="b">
        <v>0</v>
      </c>
      <c r="F73" s="80" t="b">
        <v>0</v>
      </c>
      <c r="G73" s="80" t="b">
        <v>0</v>
      </c>
    </row>
    <row r="74" spans="1:7" ht="15">
      <c r="A74" s="81" t="s">
        <v>2277</v>
      </c>
      <c r="B74" s="80">
        <v>16</v>
      </c>
      <c r="C74" s="104">
        <v>0.002301782523595555</v>
      </c>
      <c r="D74" s="80" t="s">
        <v>3370</v>
      </c>
      <c r="E74" s="80" t="b">
        <v>0</v>
      </c>
      <c r="F74" s="80" t="b">
        <v>0</v>
      </c>
      <c r="G74" s="80" t="b">
        <v>0</v>
      </c>
    </row>
    <row r="75" spans="1:7" ht="15">
      <c r="A75" s="81" t="s">
        <v>2278</v>
      </c>
      <c r="B75" s="80">
        <v>16</v>
      </c>
      <c r="C75" s="104">
        <v>0.002638396638875232</v>
      </c>
      <c r="D75" s="80" t="s">
        <v>3370</v>
      </c>
      <c r="E75" s="80" t="b">
        <v>0</v>
      </c>
      <c r="F75" s="80" t="b">
        <v>0</v>
      </c>
      <c r="G75" s="80" t="b">
        <v>0</v>
      </c>
    </row>
    <row r="76" spans="1:7" ht="15">
      <c r="A76" s="81" t="s">
        <v>2279</v>
      </c>
      <c r="B76" s="80">
        <v>16</v>
      </c>
      <c r="C76" s="104">
        <v>0.002062951007976344</v>
      </c>
      <c r="D76" s="80" t="s">
        <v>3370</v>
      </c>
      <c r="E76" s="80" t="b">
        <v>0</v>
      </c>
      <c r="F76" s="80" t="b">
        <v>0</v>
      </c>
      <c r="G76" s="80" t="b">
        <v>0</v>
      </c>
    </row>
    <row r="77" spans="1:7" ht="15">
      <c r="A77" s="81" t="s">
        <v>2280</v>
      </c>
      <c r="B77" s="80">
        <v>16</v>
      </c>
      <c r="C77" s="104">
        <v>0.0014875053770774548</v>
      </c>
      <c r="D77" s="80" t="s">
        <v>3370</v>
      </c>
      <c r="E77" s="80" t="b">
        <v>0</v>
      </c>
      <c r="F77" s="80" t="b">
        <v>0</v>
      </c>
      <c r="G77" s="80" t="b">
        <v>0</v>
      </c>
    </row>
    <row r="78" spans="1:7" ht="15">
      <c r="A78" s="81" t="s">
        <v>2281</v>
      </c>
      <c r="B78" s="80">
        <v>16</v>
      </c>
      <c r="C78" s="104">
        <v>0.0015983621454935825</v>
      </c>
      <c r="D78" s="80" t="s">
        <v>3370</v>
      </c>
      <c r="E78" s="80" t="b">
        <v>0</v>
      </c>
      <c r="F78" s="80" t="b">
        <v>0</v>
      </c>
      <c r="G78" s="80" t="b">
        <v>0</v>
      </c>
    </row>
    <row r="79" spans="1:7" ht="15">
      <c r="A79" s="81" t="s">
        <v>2282</v>
      </c>
      <c r="B79" s="80">
        <v>16</v>
      </c>
      <c r="C79" s="104">
        <v>0.0017985730903347064</v>
      </c>
      <c r="D79" s="80" t="s">
        <v>3370</v>
      </c>
      <c r="E79" s="80" t="b">
        <v>0</v>
      </c>
      <c r="F79" s="80" t="b">
        <v>0</v>
      </c>
      <c r="G79" s="80" t="b">
        <v>0</v>
      </c>
    </row>
    <row r="80" spans="1:7" ht="15">
      <c r="A80" s="81" t="s">
        <v>2283</v>
      </c>
      <c r="B80" s="80">
        <v>15</v>
      </c>
      <c r="C80" s="104">
        <v>0.0016184408369031246</v>
      </c>
      <c r="D80" s="80" t="s">
        <v>3370</v>
      </c>
      <c r="E80" s="80" t="b">
        <v>0</v>
      </c>
      <c r="F80" s="80" t="b">
        <v>0</v>
      </c>
      <c r="G80" s="80" t="b">
        <v>0</v>
      </c>
    </row>
    <row r="81" spans="1:7" ht="15">
      <c r="A81" s="81" t="s">
        <v>2284</v>
      </c>
      <c r="B81" s="80">
        <v>15</v>
      </c>
      <c r="C81" s="104">
        <v>0.0016184408369031246</v>
      </c>
      <c r="D81" s="80" t="s">
        <v>3370</v>
      </c>
      <c r="E81" s="80" t="b">
        <v>0</v>
      </c>
      <c r="F81" s="80" t="b">
        <v>0</v>
      </c>
      <c r="G81" s="80" t="b">
        <v>0</v>
      </c>
    </row>
    <row r="82" spans="1:7" ht="15">
      <c r="A82" s="81" t="s">
        <v>2285</v>
      </c>
      <c r="B82" s="80">
        <v>15</v>
      </c>
      <c r="C82" s="104">
        <v>0.0019340165699778223</v>
      </c>
      <c r="D82" s="80" t="s">
        <v>3370</v>
      </c>
      <c r="E82" s="80" t="b">
        <v>0</v>
      </c>
      <c r="F82" s="80" t="b">
        <v>0</v>
      </c>
      <c r="G82" s="80" t="b">
        <v>0</v>
      </c>
    </row>
    <row r="83" spans="1:7" ht="15">
      <c r="A83" s="81" t="s">
        <v>2286</v>
      </c>
      <c r="B83" s="80">
        <v>15</v>
      </c>
      <c r="C83" s="104">
        <v>0.0016184408369031246</v>
      </c>
      <c r="D83" s="80" t="s">
        <v>3370</v>
      </c>
      <c r="E83" s="80" t="b">
        <v>0</v>
      </c>
      <c r="F83" s="80" t="b">
        <v>0</v>
      </c>
      <c r="G83" s="80" t="b">
        <v>0</v>
      </c>
    </row>
    <row r="84" spans="1:7" ht="15">
      <c r="A84" s="81" t="s">
        <v>2287</v>
      </c>
      <c r="B84" s="80">
        <v>15</v>
      </c>
      <c r="C84" s="104">
        <v>0.0016861622721887873</v>
      </c>
      <c r="D84" s="80" t="s">
        <v>3370</v>
      </c>
      <c r="E84" s="80" t="b">
        <v>0</v>
      </c>
      <c r="F84" s="80" t="b">
        <v>0</v>
      </c>
      <c r="G84" s="80" t="b">
        <v>0</v>
      </c>
    </row>
    <row r="85" spans="1:7" ht="15">
      <c r="A85" s="81" t="s">
        <v>2288</v>
      </c>
      <c r="B85" s="80">
        <v>15</v>
      </c>
      <c r="C85" s="104">
        <v>0.0014447669784657476</v>
      </c>
      <c r="D85" s="80" t="s">
        <v>3370</v>
      </c>
      <c r="E85" s="80" t="b">
        <v>0</v>
      </c>
      <c r="F85" s="80" t="b">
        <v>0</v>
      </c>
      <c r="G85" s="80" t="b">
        <v>0</v>
      </c>
    </row>
    <row r="86" spans="1:7" ht="15">
      <c r="A86" s="81" t="s">
        <v>2289</v>
      </c>
      <c r="B86" s="80">
        <v>15</v>
      </c>
      <c r="C86" s="104">
        <v>0.0019340165699778223</v>
      </c>
      <c r="D86" s="80" t="s">
        <v>3370</v>
      </c>
      <c r="E86" s="80" t="b">
        <v>0</v>
      </c>
      <c r="F86" s="80" t="b">
        <v>0</v>
      </c>
      <c r="G86" s="80" t="b">
        <v>0</v>
      </c>
    </row>
    <row r="87" spans="1:7" ht="15">
      <c r="A87" s="81" t="s">
        <v>2290</v>
      </c>
      <c r="B87" s="80">
        <v>15</v>
      </c>
      <c r="C87" s="104">
        <v>0.001556143155435003</v>
      </c>
      <c r="D87" s="80" t="s">
        <v>3370</v>
      </c>
      <c r="E87" s="80" t="b">
        <v>0</v>
      </c>
      <c r="F87" s="80" t="b">
        <v>0</v>
      </c>
      <c r="G87" s="80" t="b">
        <v>0</v>
      </c>
    </row>
    <row r="88" spans="1:7" ht="15">
      <c r="A88" s="81" t="s">
        <v>2291</v>
      </c>
      <c r="B88" s="80">
        <v>14</v>
      </c>
      <c r="C88" s="104">
        <v>0.0014524002784060029</v>
      </c>
      <c r="D88" s="80" t="s">
        <v>3370</v>
      </c>
      <c r="E88" s="80" t="b">
        <v>0</v>
      </c>
      <c r="F88" s="80" t="b">
        <v>0</v>
      </c>
      <c r="G88" s="80" t="b">
        <v>0</v>
      </c>
    </row>
    <row r="89" spans="1:7" ht="15">
      <c r="A89" s="81" t="s">
        <v>2292</v>
      </c>
      <c r="B89" s="80">
        <v>14</v>
      </c>
      <c r="C89" s="104">
        <v>0.0014524002784060029</v>
      </c>
      <c r="D89" s="80" t="s">
        <v>3370</v>
      </c>
      <c r="E89" s="80" t="b">
        <v>0</v>
      </c>
      <c r="F89" s="80" t="b">
        <v>0</v>
      </c>
      <c r="G89" s="80" t="b">
        <v>0</v>
      </c>
    </row>
    <row r="90" spans="1:7" ht="15">
      <c r="A90" s="81" t="s">
        <v>2293</v>
      </c>
      <c r="B90" s="80">
        <v>14</v>
      </c>
      <c r="C90" s="104">
        <v>0.0023085970590158286</v>
      </c>
      <c r="D90" s="80" t="s">
        <v>3370</v>
      </c>
      <c r="E90" s="80" t="b">
        <v>0</v>
      </c>
      <c r="F90" s="80" t="b">
        <v>0</v>
      </c>
      <c r="G90" s="80" t="b">
        <v>0</v>
      </c>
    </row>
    <row r="91" spans="1:7" ht="15">
      <c r="A91" s="81" t="s">
        <v>2294</v>
      </c>
      <c r="B91" s="80">
        <v>14</v>
      </c>
      <c r="C91" s="104">
        <v>0.0013985668773068849</v>
      </c>
      <c r="D91" s="80" t="s">
        <v>3370</v>
      </c>
      <c r="E91" s="80" t="b">
        <v>0</v>
      </c>
      <c r="F91" s="80" t="b">
        <v>0</v>
      </c>
      <c r="G91" s="80" t="b">
        <v>0</v>
      </c>
    </row>
    <row r="92" spans="1:7" ht="15">
      <c r="A92" s="81" t="s">
        <v>2295</v>
      </c>
      <c r="B92" s="80">
        <v>14</v>
      </c>
      <c r="C92" s="104">
        <v>0.001719522357276393</v>
      </c>
      <c r="D92" s="80" t="s">
        <v>3370</v>
      </c>
      <c r="E92" s="80" t="b">
        <v>0</v>
      </c>
      <c r="F92" s="80" t="b">
        <v>0</v>
      </c>
      <c r="G92" s="80" t="b">
        <v>0</v>
      </c>
    </row>
    <row r="93" spans="1:7" ht="15">
      <c r="A93" s="81" t="s">
        <v>2296</v>
      </c>
      <c r="B93" s="80">
        <v>14</v>
      </c>
      <c r="C93" s="104">
        <v>0.001510544781109583</v>
      </c>
      <c r="D93" s="80" t="s">
        <v>3370</v>
      </c>
      <c r="E93" s="80" t="b">
        <v>0</v>
      </c>
      <c r="F93" s="80" t="b">
        <v>0</v>
      </c>
      <c r="G93" s="80" t="b">
        <v>0</v>
      </c>
    </row>
    <row r="94" spans="1:7" ht="15">
      <c r="A94" s="81" t="s">
        <v>2297</v>
      </c>
      <c r="B94" s="80">
        <v>14</v>
      </c>
      <c r="C94" s="104">
        <v>0.001805082131979301</v>
      </c>
      <c r="D94" s="80" t="s">
        <v>3370</v>
      </c>
      <c r="E94" s="80" t="b">
        <v>0</v>
      </c>
      <c r="F94" s="80" t="b">
        <v>0</v>
      </c>
      <c r="G94" s="80" t="b">
        <v>0</v>
      </c>
    </row>
    <row r="95" spans="1:7" ht="15">
      <c r="A95" s="81" t="s">
        <v>2298</v>
      </c>
      <c r="B95" s="80">
        <v>14</v>
      </c>
      <c r="C95" s="104">
        <v>0.0021465014578076103</v>
      </c>
      <c r="D95" s="80" t="s">
        <v>3370</v>
      </c>
      <c r="E95" s="80" t="b">
        <v>0</v>
      </c>
      <c r="F95" s="80" t="b">
        <v>0</v>
      </c>
      <c r="G95" s="80" t="b">
        <v>0</v>
      </c>
    </row>
    <row r="96" spans="1:7" ht="15">
      <c r="A96" s="81" t="s">
        <v>2299</v>
      </c>
      <c r="B96" s="80">
        <v>14</v>
      </c>
      <c r="C96" s="104">
        <v>0.0013985668773068849</v>
      </c>
      <c r="D96" s="80" t="s">
        <v>3370</v>
      </c>
      <c r="E96" s="80" t="b">
        <v>0</v>
      </c>
      <c r="F96" s="80" t="b">
        <v>1</v>
      </c>
      <c r="G96" s="80" t="b">
        <v>0</v>
      </c>
    </row>
    <row r="97" spans="1:7" ht="15">
      <c r="A97" s="81" t="s">
        <v>2300</v>
      </c>
      <c r="B97" s="80">
        <v>14</v>
      </c>
      <c r="C97" s="104">
        <v>0.001510544781109583</v>
      </c>
      <c r="D97" s="80" t="s">
        <v>3370</v>
      </c>
      <c r="E97" s="80" t="b">
        <v>0</v>
      </c>
      <c r="F97" s="80" t="b">
        <v>0</v>
      </c>
      <c r="G97" s="80" t="b">
        <v>0</v>
      </c>
    </row>
    <row r="98" spans="1:7" ht="15">
      <c r="A98" s="81" t="s">
        <v>2301</v>
      </c>
      <c r="B98" s="80">
        <v>14</v>
      </c>
      <c r="C98" s="104">
        <v>0.001719522357276393</v>
      </c>
      <c r="D98" s="80" t="s">
        <v>3370</v>
      </c>
      <c r="E98" s="80" t="b">
        <v>0</v>
      </c>
      <c r="F98" s="80" t="b">
        <v>0</v>
      </c>
      <c r="G98" s="80" t="b">
        <v>0</v>
      </c>
    </row>
    <row r="99" spans="1:7" ht="15">
      <c r="A99" s="81" t="s">
        <v>2302</v>
      </c>
      <c r="B99" s="80">
        <v>14</v>
      </c>
      <c r="C99" s="104">
        <v>0.0013985668773068849</v>
      </c>
      <c r="D99" s="80" t="s">
        <v>3370</v>
      </c>
      <c r="E99" s="80" t="b">
        <v>0</v>
      </c>
      <c r="F99" s="80" t="b">
        <v>0</v>
      </c>
      <c r="G99" s="80" t="b">
        <v>0</v>
      </c>
    </row>
    <row r="100" spans="1:7" ht="15">
      <c r="A100" s="81" t="s">
        <v>2303</v>
      </c>
      <c r="B100" s="80">
        <v>14</v>
      </c>
      <c r="C100" s="104">
        <v>0.0013985668773068849</v>
      </c>
      <c r="D100" s="80" t="s">
        <v>3370</v>
      </c>
      <c r="E100" s="80" t="b">
        <v>0</v>
      </c>
      <c r="F100" s="80" t="b">
        <v>0</v>
      </c>
      <c r="G100" s="80" t="b">
        <v>0</v>
      </c>
    </row>
    <row r="101" spans="1:7" ht="15">
      <c r="A101" s="81" t="s">
        <v>2304</v>
      </c>
      <c r="B101" s="80">
        <v>14</v>
      </c>
      <c r="C101" s="104">
        <v>0.0015737514540428682</v>
      </c>
      <c r="D101" s="80" t="s">
        <v>3370</v>
      </c>
      <c r="E101" s="80" t="b">
        <v>0</v>
      </c>
      <c r="F101" s="80" t="b">
        <v>0</v>
      </c>
      <c r="G101" s="80" t="b">
        <v>0</v>
      </c>
    </row>
    <row r="102" spans="1:7" ht="15">
      <c r="A102" s="81" t="s">
        <v>2305</v>
      </c>
      <c r="B102" s="80">
        <v>14</v>
      </c>
      <c r="C102" s="104">
        <v>0.0013985668773068849</v>
      </c>
      <c r="D102" s="80" t="s">
        <v>3370</v>
      </c>
      <c r="E102" s="80" t="b">
        <v>0</v>
      </c>
      <c r="F102" s="80" t="b">
        <v>0</v>
      </c>
      <c r="G102" s="80" t="b">
        <v>0</v>
      </c>
    </row>
    <row r="103" spans="1:7" ht="15">
      <c r="A103" s="81" t="s">
        <v>2306</v>
      </c>
      <c r="B103" s="80">
        <v>13</v>
      </c>
      <c r="C103" s="104">
        <v>0.0013486574013770027</v>
      </c>
      <c r="D103" s="80" t="s">
        <v>3370</v>
      </c>
      <c r="E103" s="80" t="b">
        <v>0</v>
      </c>
      <c r="F103" s="80" t="b">
        <v>0</v>
      </c>
      <c r="G103" s="80" t="b">
        <v>0</v>
      </c>
    </row>
    <row r="104" spans="1:7" ht="15">
      <c r="A104" s="81" t="s">
        <v>2307</v>
      </c>
      <c r="B104" s="80">
        <v>13</v>
      </c>
      <c r="C104" s="104">
        <v>0.0014026487253160412</v>
      </c>
      <c r="D104" s="80" t="s">
        <v>3370</v>
      </c>
      <c r="E104" s="80" t="b">
        <v>0</v>
      </c>
      <c r="F104" s="80" t="b">
        <v>0</v>
      </c>
      <c r="G104" s="80" t="b">
        <v>0</v>
      </c>
    </row>
    <row r="105" spans="1:7" ht="15">
      <c r="A105" s="81" t="s">
        <v>2308</v>
      </c>
      <c r="B105" s="80">
        <v>13</v>
      </c>
      <c r="C105" s="104">
        <v>0.0015966993317566504</v>
      </c>
      <c r="D105" s="80" t="s">
        <v>3370</v>
      </c>
      <c r="E105" s="80" t="b">
        <v>0</v>
      </c>
      <c r="F105" s="80" t="b">
        <v>0</v>
      </c>
      <c r="G105" s="80" t="b">
        <v>0</v>
      </c>
    </row>
    <row r="106" spans="1:7" ht="15">
      <c r="A106" s="81" t="s">
        <v>2309</v>
      </c>
      <c r="B106" s="80">
        <v>13</v>
      </c>
      <c r="C106" s="104">
        <v>0.0014613406358969488</v>
      </c>
      <c r="D106" s="80" t="s">
        <v>3370</v>
      </c>
      <c r="E106" s="80" t="b">
        <v>0</v>
      </c>
      <c r="F106" s="80" t="b">
        <v>0</v>
      </c>
      <c r="G106" s="80" t="b">
        <v>0</v>
      </c>
    </row>
    <row r="107" spans="1:7" ht="15">
      <c r="A107" s="81" t="s">
        <v>2310</v>
      </c>
      <c r="B107" s="80">
        <v>13</v>
      </c>
      <c r="C107" s="104">
        <v>0.0013486574013770027</v>
      </c>
      <c r="D107" s="80" t="s">
        <v>3370</v>
      </c>
      <c r="E107" s="80" t="b">
        <v>0</v>
      </c>
      <c r="F107" s="80" t="b">
        <v>0</v>
      </c>
      <c r="G107" s="80" t="b">
        <v>0</v>
      </c>
    </row>
    <row r="108" spans="1:7" ht="15">
      <c r="A108" s="81" t="s">
        <v>2311</v>
      </c>
      <c r="B108" s="80">
        <v>13</v>
      </c>
      <c r="C108" s="104">
        <v>0.0013486574013770027</v>
      </c>
      <c r="D108" s="80" t="s">
        <v>3370</v>
      </c>
      <c r="E108" s="80" t="b">
        <v>0</v>
      </c>
      <c r="F108" s="80" t="b">
        <v>0</v>
      </c>
      <c r="G108" s="80" t="b">
        <v>0</v>
      </c>
    </row>
    <row r="109" spans="1:7" ht="15">
      <c r="A109" s="81" t="s">
        <v>2312</v>
      </c>
      <c r="B109" s="80">
        <v>13</v>
      </c>
      <c r="C109" s="104">
        <v>0.0013486574013770027</v>
      </c>
      <c r="D109" s="80" t="s">
        <v>3370</v>
      </c>
      <c r="E109" s="80" t="b">
        <v>0</v>
      </c>
      <c r="F109" s="80" t="b">
        <v>0</v>
      </c>
      <c r="G109" s="80" t="b">
        <v>0</v>
      </c>
    </row>
    <row r="110" spans="1:7" ht="15">
      <c r="A110" s="81" t="s">
        <v>2313</v>
      </c>
      <c r="B110" s="80">
        <v>13</v>
      </c>
      <c r="C110" s="104">
        <v>0.0013486574013770027</v>
      </c>
      <c r="D110" s="80" t="s">
        <v>3370</v>
      </c>
      <c r="E110" s="80" t="b">
        <v>0</v>
      </c>
      <c r="F110" s="80" t="b">
        <v>0</v>
      </c>
      <c r="G110" s="80" t="b">
        <v>0</v>
      </c>
    </row>
    <row r="111" spans="1:7" ht="15">
      <c r="A111" s="81" t="s">
        <v>2314</v>
      </c>
      <c r="B111" s="80">
        <v>13</v>
      </c>
      <c r="C111" s="104">
        <v>0.0014026487253160412</v>
      </c>
      <c r="D111" s="80" t="s">
        <v>3370</v>
      </c>
      <c r="E111" s="80" t="b">
        <v>0</v>
      </c>
      <c r="F111" s="80" t="b">
        <v>0</v>
      </c>
      <c r="G111" s="80" t="b">
        <v>0</v>
      </c>
    </row>
    <row r="112" spans="1:7" ht="15">
      <c r="A112" s="81" t="s">
        <v>2315</v>
      </c>
      <c r="B112" s="80">
        <v>13</v>
      </c>
      <c r="C112" s="104">
        <v>0.0013486574013770027</v>
      </c>
      <c r="D112" s="80" t="s">
        <v>3370</v>
      </c>
      <c r="E112" s="80" t="b">
        <v>0</v>
      </c>
      <c r="F112" s="80" t="b">
        <v>0</v>
      </c>
      <c r="G112" s="80" t="b">
        <v>0</v>
      </c>
    </row>
    <row r="113" spans="1:7" ht="15">
      <c r="A113" s="81" t="s">
        <v>2316</v>
      </c>
      <c r="B113" s="80">
        <v>13</v>
      </c>
      <c r="C113" s="104">
        <v>0.0017662188183188829</v>
      </c>
      <c r="D113" s="80" t="s">
        <v>3370</v>
      </c>
      <c r="E113" s="80" t="b">
        <v>0</v>
      </c>
      <c r="F113" s="80" t="b">
        <v>0</v>
      </c>
      <c r="G113" s="80" t="b">
        <v>0</v>
      </c>
    </row>
    <row r="114" spans="1:7" ht="15">
      <c r="A114" s="81" t="s">
        <v>2317</v>
      </c>
      <c r="B114" s="80">
        <v>13</v>
      </c>
      <c r="C114" s="104">
        <v>0.0014613406358969488</v>
      </c>
      <c r="D114" s="80" t="s">
        <v>3370</v>
      </c>
      <c r="E114" s="80" t="b">
        <v>0</v>
      </c>
      <c r="F114" s="80" t="b">
        <v>0</v>
      </c>
      <c r="G114" s="80" t="b">
        <v>0</v>
      </c>
    </row>
    <row r="115" spans="1:7" ht="15">
      <c r="A115" s="81" t="s">
        <v>2318</v>
      </c>
      <c r="B115" s="80">
        <v>13</v>
      </c>
      <c r="C115" s="104">
        <v>0.001525630350001719</v>
      </c>
      <c r="D115" s="80" t="s">
        <v>3370</v>
      </c>
      <c r="E115" s="80" t="b">
        <v>0</v>
      </c>
      <c r="F115" s="80" t="b">
        <v>0</v>
      </c>
      <c r="G115" s="80" t="b">
        <v>0</v>
      </c>
    </row>
    <row r="116" spans="1:7" ht="15">
      <c r="A116" s="81" t="s">
        <v>2319</v>
      </c>
      <c r="B116" s="80">
        <v>13</v>
      </c>
      <c r="C116" s="104">
        <v>0.0018701983004213885</v>
      </c>
      <c r="D116" s="80" t="s">
        <v>3370</v>
      </c>
      <c r="E116" s="80" t="b">
        <v>0</v>
      </c>
      <c r="F116" s="80" t="b">
        <v>0</v>
      </c>
      <c r="G116" s="80" t="b">
        <v>0</v>
      </c>
    </row>
    <row r="117" spans="1:7" ht="15">
      <c r="A117" s="81" t="s">
        <v>2320</v>
      </c>
      <c r="B117" s="80">
        <v>13</v>
      </c>
      <c r="C117" s="104">
        <v>0.0019931799251070663</v>
      </c>
      <c r="D117" s="80" t="s">
        <v>3370</v>
      </c>
      <c r="E117" s="80" t="b">
        <v>0</v>
      </c>
      <c r="F117" s="80" t="b">
        <v>0</v>
      </c>
      <c r="G117" s="80" t="b">
        <v>0</v>
      </c>
    </row>
    <row r="118" spans="1:7" ht="15">
      <c r="A118" s="81" t="s">
        <v>2321</v>
      </c>
      <c r="B118" s="80">
        <v>12</v>
      </c>
      <c r="C118" s="104">
        <v>0.0016303558322943534</v>
      </c>
      <c r="D118" s="80" t="s">
        <v>3370</v>
      </c>
      <c r="E118" s="80" t="b">
        <v>0</v>
      </c>
      <c r="F118" s="80" t="b">
        <v>0</v>
      </c>
      <c r="G118" s="80" t="b">
        <v>0</v>
      </c>
    </row>
    <row r="119" spans="1:7" ht="15">
      <c r="A119" s="81" t="s">
        <v>2322</v>
      </c>
      <c r="B119" s="80">
        <v>12</v>
      </c>
      <c r="C119" s="104">
        <v>0.001547213255982258</v>
      </c>
      <c r="D119" s="80" t="s">
        <v>3370</v>
      </c>
      <c r="E119" s="80" t="b">
        <v>0</v>
      </c>
      <c r="F119" s="80" t="b">
        <v>0</v>
      </c>
      <c r="G119" s="80" t="b">
        <v>0</v>
      </c>
    </row>
    <row r="120" spans="1:7" ht="15">
      <c r="A120" s="81" t="s">
        <v>2323</v>
      </c>
      <c r="B120" s="80">
        <v>12</v>
      </c>
      <c r="C120" s="104">
        <v>0.0013489298177510299</v>
      </c>
      <c r="D120" s="80" t="s">
        <v>3370</v>
      </c>
      <c r="E120" s="80" t="b">
        <v>0</v>
      </c>
      <c r="F120" s="80" t="b">
        <v>0</v>
      </c>
      <c r="G120" s="80" t="b">
        <v>0</v>
      </c>
    </row>
    <row r="121" spans="1:7" ht="15">
      <c r="A121" s="81" t="s">
        <v>2324</v>
      </c>
      <c r="B121" s="80">
        <v>12</v>
      </c>
      <c r="C121" s="104">
        <v>0.0018398583924065228</v>
      </c>
      <c r="D121" s="80" t="s">
        <v>3370</v>
      </c>
      <c r="E121" s="80" t="b">
        <v>0</v>
      </c>
      <c r="F121" s="80" t="b">
        <v>0</v>
      </c>
      <c r="G121" s="80" t="b">
        <v>0</v>
      </c>
    </row>
    <row r="122" spans="1:7" ht="15">
      <c r="A122" s="81" t="s">
        <v>2325</v>
      </c>
      <c r="B122" s="80">
        <v>12</v>
      </c>
      <c r="C122" s="104">
        <v>0.0013489298177510299</v>
      </c>
      <c r="D122" s="80" t="s">
        <v>3370</v>
      </c>
      <c r="E122" s="80" t="b">
        <v>0</v>
      </c>
      <c r="F122" s="80" t="b">
        <v>0</v>
      </c>
      <c r="G122" s="80" t="b">
        <v>0</v>
      </c>
    </row>
    <row r="123" spans="1:7" ht="15">
      <c r="A123" s="81" t="s">
        <v>2326</v>
      </c>
      <c r="B123" s="80">
        <v>12</v>
      </c>
      <c r="C123" s="104">
        <v>0.0018398583924065228</v>
      </c>
      <c r="D123" s="80" t="s">
        <v>3370</v>
      </c>
      <c r="E123" s="80" t="b">
        <v>0</v>
      </c>
      <c r="F123" s="80" t="b">
        <v>0</v>
      </c>
      <c r="G123" s="80" t="b">
        <v>0</v>
      </c>
    </row>
    <row r="124" spans="1:7" ht="15">
      <c r="A124" s="81" t="s">
        <v>2327</v>
      </c>
      <c r="B124" s="80">
        <v>12</v>
      </c>
      <c r="C124" s="104">
        <v>0.0013489298177510299</v>
      </c>
      <c r="D124" s="80" t="s">
        <v>3370</v>
      </c>
      <c r="E124" s="80" t="b">
        <v>0</v>
      </c>
      <c r="F124" s="80" t="b">
        <v>0</v>
      </c>
      <c r="G124" s="80" t="b">
        <v>0</v>
      </c>
    </row>
    <row r="125" spans="1:7" ht="15">
      <c r="A125" s="81" t="s">
        <v>2328</v>
      </c>
      <c r="B125" s="80">
        <v>12</v>
      </c>
      <c r="C125" s="104">
        <v>0.0014082741692323562</v>
      </c>
      <c r="D125" s="80" t="s">
        <v>3370</v>
      </c>
      <c r="E125" s="80" t="b">
        <v>0</v>
      </c>
      <c r="F125" s="80" t="b">
        <v>0</v>
      </c>
      <c r="G125" s="80" t="b">
        <v>0</v>
      </c>
    </row>
    <row r="126" spans="1:7" ht="15">
      <c r="A126" s="81" t="s">
        <v>2329</v>
      </c>
      <c r="B126" s="80">
        <v>12</v>
      </c>
      <c r="C126" s="104">
        <v>0.001473876306236908</v>
      </c>
      <c r="D126" s="80" t="s">
        <v>3370</v>
      </c>
      <c r="E126" s="80" t="b">
        <v>0</v>
      </c>
      <c r="F126" s="80" t="b">
        <v>0</v>
      </c>
      <c r="G126" s="80" t="b">
        <v>0</v>
      </c>
    </row>
    <row r="127" spans="1:7" ht="15">
      <c r="A127" s="81" t="s">
        <v>2330</v>
      </c>
      <c r="B127" s="80">
        <v>11</v>
      </c>
      <c r="C127" s="104">
        <v>0.001351053280717166</v>
      </c>
      <c r="D127" s="80" t="s">
        <v>3370</v>
      </c>
      <c r="E127" s="80" t="b">
        <v>0</v>
      </c>
      <c r="F127" s="80" t="b">
        <v>0</v>
      </c>
      <c r="G127" s="80" t="b">
        <v>0</v>
      </c>
    </row>
    <row r="128" spans="1:7" ht="15">
      <c r="A128" s="81" t="s">
        <v>2331</v>
      </c>
      <c r="B128" s="80">
        <v>11</v>
      </c>
      <c r="C128" s="104">
        <v>0.0012365189996051107</v>
      </c>
      <c r="D128" s="80" t="s">
        <v>3370</v>
      </c>
      <c r="E128" s="80" t="b">
        <v>0</v>
      </c>
      <c r="F128" s="80" t="b">
        <v>0</v>
      </c>
      <c r="G128" s="80" t="b">
        <v>0</v>
      </c>
    </row>
    <row r="129" spans="1:7" ht="15">
      <c r="A129" s="81" t="s">
        <v>2332</v>
      </c>
      <c r="B129" s="80">
        <v>11</v>
      </c>
      <c r="C129" s="104">
        <v>0.001494492846269824</v>
      </c>
      <c r="D129" s="80" t="s">
        <v>3370</v>
      </c>
      <c r="E129" s="80" t="b">
        <v>0</v>
      </c>
      <c r="F129" s="80" t="b">
        <v>0</v>
      </c>
      <c r="G129" s="80" t="b">
        <v>0</v>
      </c>
    </row>
    <row r="130" spans="1:7" ht="15">
      <c r="A130" s="81" t="s">
        <v>2333</v>
      </c>
      <c r="B130" s="80">
        <v>11</v>
      </c>
      <c r="C130" s="104">
        <v>0.0022095165604697083</v>
      </c>
      <c r="D130" s="80" t="s">
        <v>3370</v>
      </c>
      <c r="E130" s="80" t="b">
        <v>0</v>
      </c>
      <c r="F130" s="80" t="b">
        <v>0</v>
      </c>
      <c r="G130" s="80" t="b">
        <v>0</v>
      </c>
    </row>
    <row r="131" spans="1:7" ht="15">
      <c r="A131" s="81" t="s">
        <v>2334</v>
      </c>
      <c r="B131" s="80">
        <v>11</v>
      </c>
      <c r="C131" s="104">
        <v>0.001351053280717166</v>
      </c>
      <c r="D131" s="80" t="s">
        <v>3370</v>
      </c>
      <c r="E131" s="80" t="b">
        <v>0</v>
      </c>
      <c r="F131" s="80" t="b">
        <v>0</v>
      </c>
      <c r="G131" s="80" t="b">
        <v>0</v>
      </c>
    </row>
    <row r="132" spans="1:7" ht="15">
      <c r="A132" s="81" t="s">
        <v>2335</v>
      </c>
      <c r="B132" s="80">
        <v>11</v>
      </c>
      <c r="C132" s="104">
        <v>0.0014182788179837365</v>
      </c>
      <c r="D132" s="80" t="s">
        <v>3370</v>
      </c>
      <c r="E132" s="80" t="b">
        <v>0</v>
      </c>
      <c r="F132" s="80" t="b">
        <v>0</v>
      </c>
      <c r="G132" s="80" t="b">
        <v>0</v>
      </c>
    </row>
    <row r="133" spans="1:7" ht="15">
      <c r="A133" s="81" t="s">
        <v>2336</v>
      </c>
      <c r="B133" s="80">
        <v>11</v>
      </c>
      <c r="C133" s="104">
        <v>0.0015824754849719442</v>
      </c>
      <c r="D133" s="80" t="s">
        <v>3370</v>
      </c>
      <c r="E133" s="80" t="b">
        <v>1</v>
      </c>
      <c r="F133" s="80" t="b">
        <v>0</v>
      </c>
      <c r="G133" s="80" t="b">
        <v>0</v>
      </c>
    </row>
    <row r="134" spans="1:7" ht="15">
      <c r="A134" s="81" t="s">
        <v>2337</v>
      </c>
      <c r="B134" s="80">
        <v>11</v>
      </c>
      <c r="C134" s="104">
        <v>0.0012909179884629932</v>
      </c>
      <c r="D134" s="80" t="s">
        <v>3370</v>
      </c>
      <c r="E134" s="80" t="b">
        <v>0</v>
      </c>
      <c r="F134" s="80" t="b">
        <v>0</v>
      </c>
      <c r="G134" s="80" t="b">
        <v>0</v>
      </c>
    </row>
    <row r="135" spans="1:7" ht="15">
      <c r="A135" s="81" t="s">
        <v>2338</v>
      </c>
      <c r="B135" s="80">
        <v>11</v>
      </c>
      <c r="C135" s="104">
        <v>0.0026051354317126944</v>
      </c>
      <c r="D135" s="80" t="s">
        <v>3370</v>
      </c>
      <c r="E135" s="80" t="b">
        <v>0</v>
      </c>
      <c r="F135" s="80" t="b">
        <v>0</v>
      </c>
      <c r="G135" s="80" t="b">
        <v>0</v>
      </c>
    </row>
    <row r="136" spans="1:7" ht="15">
      <c r="A136" s="81" t="s">
        <v>2339</v>
      </c>
      <c r="B136" s="80">
        <v>11</v>
      </c>
      <c r="C136" s="104">
        <v>0.0014182788179837365</v>
      </c>
      <c r="D136" s="80" t="s">
        <v>3370</v>
      </c>
      <c r="E136" s="80" t="b">
        <v>0</v>
      </c>
      <c r="F136" s="80" t="b">
        <v>0</v>
      </c>
      <c r="G136" s="80" t="b">
        <v>0</v>
      </c>
    </row>
    <row r="137" spans="1:7" ht="15">
      <c r="A137" s="81" t="s">
        <v>2340</v>
      </c>
      <c r="B137" s="80">
        <v>10</v>
      </c>
      <c r="C137" s="104">
        <v>0.0017982675965590273</v>
      </c>
      <c r="D137" s="80" t="s">
        <v>3370</v>
      </c>
      <c r="E137" s="80" t="b">
        <v>0</v>
      </c>
      <c r="F137" s="80" t="b">
        <v>0</v>
      </c>
      <c r="G137" s="80" t="b">
        <v>0</v>
      </c>
    </row>
    <row r="138" spans="1:7" ht="15">
      <c r="A138" s="81" t="s">
        <v>2341</v>
      </c>
      <c r="B138" s="80">
        <v>10</v>
      </c>
      <c r="C138" s="104">
        <v>0.0015332153270054356</v>
      </c>
      <c r="D138" s="80" t="s">
        <v>3370</v>
      </c>
      <c r="E138" s="80" t="b">
        <v>0</v>
      </c>
      <c r="F138" s="80" t="b">
        <v>0</v>
      </c>
      <c r="G138" s="80" t="b">
        <v>0</v>
      </c>
    </row>
    <row r="139" spans="1:7" ht="15">
      <c r="A139" s="81" t="s">
        <v>2342</v>
      </c>
      <c r="B139" s="80">
        <v>10</v>
      </c>
      <c r="C139" s="104">
        <v>0.00164899789929702</v>
      </c>
      <c r="D139" s="80" t="s">
        <v>3370</v>
      </c>
      <c r="E139" s="80" t="b">
        <v>1</v>
      </c>
      <c r="F139" s="80" t="b">
        <v>0</v>
      </c>
      <c r="G139" s="80" t="b">
        <v>0</v>
      </c>
    </row>
    <row r="140" spans="1:7" ht="15">
      <c r="A140" s="81" t="s">
        <v>2343</v>
      </c>
      <c r="B140" s="80">
        <v>10</v>
      </c>
      <c r="C140" s="104">
        <v>0.0011735618076936301</v>
      </c>
      <c r="D140" s="80" t="s">
        <v>3370</v>
      </c>
      <c r="E140" s="80" t="b">
        <v>0</v>
      </c>
      <c r="F140" s="80" t="b">
        <v>0</v>
      </c>
      <c r="G140" s="80" t="b">
        <v>0</v>
      </c>
    </row>
    <row r="141" spans="1:7" ht="15">
      <c r="A141" s="81" t="s">
        <v>2344</v>
      </c>
      <c r="B141" s="80">
        <v>10</v>
      </c>
      <c r="C141" s="104">
        <v>0.0014386140772472218</v>
      </c>
      <c r="D141" s="80" t="s">
        <v>3370</v>
      </c>
      <c r="E141" s="80" t="b">
        <v>0</v>
      </c>
      <c r="F141" s="80" t="b">
        <v>0</v>
      </c>
      <c r="G141" s="80" t="b">
        <v>0</v>
      </c>
    </row>
    <row r="142" spans="1:7" ht="15">
      <c r="A142" s="81" t="s">
        <v>2345</v>
      </c>
      <c r="B142" s="80">
        <v>10</v>
      </c>
      <c r="C142" s="104">
        <v>0.0014386140772472218</v>
      </c>
      <c r="D142" s="80" t="s">
        <v>3370</v>
      </c>
      <c r="E142" s="80" t="b">
        <v>0</v>
      </c>
      <c r="F142" s="80" t="b">
        <v>0</v>
      </c>
      <c r="G142" s="80" t="b">
        <v>0</v>
      </c>
    </row>
    <row r="143" spans="1:7" ht="15">
      <c r="A143" s="81" t="s">
        <v>2346</v>
      </c>
      <c r="B143" s="80">
        <v>10</v>
      </c>
      <c r="C143" s="104">
        <v>0.00164899789929702</v>
      </c>
      <c r="D143" s="80" t="s">
        <v>3370</v>
      </c>
      <c r="E143" s="80" t="b">
        <v>0</v>
      </c>
      <c r="F143" s="80" t="b">
        <v>0</v>
      </c>
      <c r="G143" s="80" t="b">
        <v>0</v>
      </c>
    </row>
    <row r="144" spans="1:7" ht="15">
      <c r="A144" s="81" t="s">
        <v>2347</v>
      </c>
      <c r="B144" s="80">
        <v>10</v>
      </c>
      <c r="C144" s="104">
        <v>0.0015332153270054356</v>
      </c>
      <c r="D144" s="80" t="s">
        <v>3370</v>
      </c>
      <c r="E144" s="80" t="b">
        <v>0</v>
      </c>
      <c r="F144" s="80" t="b">
        <v>0</v>
      </c>
      <c r="G144" s="80" t="b">
        <v>0</v>
      </c>
    </row>
    <row r="145" spans="1:7" ht="15">
      <c r="A145" s="81" t="s">
        <v>2348</v>
      </c>
      <c r="B145" s="80">
        <v>10</v>
      </c>
      <c r="C145" s="104">
        <v>0.0020086514186088257</v>
      </c>
      <c r="D145" s="80" t="s">
        <v>3370</v>
      </c>
      <c r="E145" s="80" t="b">
        <v>0</v>
      </c>
      <c r="F145" s="80" t="b">
        <v>0</v>
      </c>
      <c r="G145" s="80" t="b">
        <v>0</v>
      </c>
    </row>
    <row r="146" spans="1:7" ht="15">
      <c r="A146" s="81" t="s">
        <v>2349</v>
      </c>
      <c r="B146" s="80">
        <v>10</v>
      </c>
      <c r="C146" s="104">
        <v>0.00164899789929702</v>
      </c>
      <c r="D146" s="80" t="s">
        <v>3370</v>
      </c>
      <c r="E146" s="80" t="b">
        <v>0</v>
      </c>
      <c r="F146" s="80" t="b">
        <v>0</v>
      </c>
      <c r="G146" s="80" t="b">
        <v>0</v>
      </c>
    </row>
    <row r="147" spans="1:7" ht="15">
      <c r="A147" s="81" t="s">
        <v>2350</v>
      </c>
      <c r="B147" s="80">
        <v>10</v>
      </c>
      <c r="C147" s="104">
        <v>0.001289344379985215</v>
      </c>
      <c r="D147" s="80" t="s">
        <v>3370</v>
      </c>
      <c r="E147" s="80" t="b">
        <v>0</v>
      </c>
      <c r="F147" s="80" t="b">
        <v>0</v>
      </c>
      <c r="G147" s="80" t="b">
        <v>0</v>
      </c>
    </row>
    <row r="148" spans="1:7" ht="15">
      <c r="A148" s="81" t="s">
        <v>2351</v>
      </c>
      <c r="B148" s="80">
        <v>9</v>
      </c>
      <c r="C148" s="104">
        <v>0.001105407229677681</v>
      </c>
      <c r="D148" s="80" t="s">
        <v>3370</v>
      </c>
      <c r="E148" s="80" t="b">
        <v>0</v>
      </c>
      <c r="F148" s="80" t="b">
        <v>0</v>
      </c>
      <c r="G148" s="80" t="b">
        <v>0</v>
      </c>
    </row>
    <row r="149" spans="1:7" ht="15">
      <c r="A149" s="81" t="s">
        <v>2352</v>
      </c>
      <c r="B149" s="80">
        <v>9</v>
      </c>
      <c r="C149" s="104">
        <v>0.0012947526695224999</v>
      </c>
      <c r="D149" s="80" t="s">
        <v>3370</v>
      </c>
      <c r="E149" s="80" t="b">
        <v>0</v>
      </c>
      <c r="F149" s="80" t="b">
        <v>0</v>
      </c>
      <c r="G149" s="80" t="b">
        <v>0</v>
      </c>
    </row>
    <row r="150" spans="1:7" ht="15">
      <c r="A150" s="81" t="s">
        <v>2353</v>
      </c>
      <c r="B150" s="80">
        <v>9</v>
      </c>
      <c r="C150" s="104">
        <v>0.001105407229677681</v>
      </c>
      <c r="D150" s="80" t="s">
        <v>3370</v>
      </c>
      <c r="E150" s="80" t="b">
        <v>0</v>
      </c>
      <c r="F150" s="80" t="b">
        <v>0</v>
      </c>
      <c r="G150" s="80" t="b">
        <v>0</v>
      </c>
    </row>
    <row r="151" spans="1:7" ht="15">
      <c r="A151" s="81" t="s">
        <v>2354</v>
      </c>
      <c r="B151" s="80">
        <v>9</v>
      </c>
      <c r="C151" s="104">
        <v>0.0012947526695224999</v>
      </c>
      <c r="D151" s="80" t="s">
        <v>3370</v>
      </c>
      <c r="E151" s="80" t="b">
        <v>0</v>
      </c>
      <c r="F151" s="80" t="b">
        <v>0</v>
      </c>
      <c r="G151" s="80" t="b">
        <v>0</v>
      </c>
    </row>
    <row r="152" spans="1:7" ht="15">
      <c r="A152" s="81" t="s">
        <v>2355</v>
      </c>
      <c r="B152" s="80">
        <v>9</v>
      </c>
      <c r="C152" s="104">
        <v>0.001105407229677681</v>
      </c>
      <c r="D152" s="80" t="s">
        <v>3370</v>
      </c>
      <c r="E152" s="80" t="b">
        <v>0</v>
      </c>
      <c r="F152" s="80" t="b">
        <v>0</v>
      </c>
      <c r="G152" s="80" t="b">
        <v>0</v>
      </c>
    </row>
    <row r="153" spans="1:7" ht="15">
      <c r="A153" s="81" t="s">
        <v>2356</v>
      </c>
      <c r="B153" s="80">
        <v>9</v>
      </c>
      <c r="C153" s="104">
        <v>0.0011604099419866933</v>
      </c>
      <c r="D153" s="80" t="s">
        <v>3370</v>
      </c>
      <c r="E153" s="80" t="b">
        <v>0</v>
      </c>
      <c r="F153" s="80" t="b">
        <v>0</v>
      </c>
      <c r="G153" s="80" t="b">
        <v>0</v>
      </c>
    </row>
    <row r="154" spans="1:7" ht="15">
      <c r="A154" s="81" t="s">
        <v>2357</v>
      </c>
      <c r="B154" s="80">
        <v>9</v>
      </c>
      <c r="C154" s="104">
        <v>0.001105407229677681</v>
      </c>
      <c r="D154" s="80" t="s">
        <v>3370</v>
      </c>
      <c r="E154" s="80" t="b">
        <v>0</v>
      </c>
      <c r="F154" s="80" t="b">
        <v>0</v>
      </c>
      <c r="G154" s="80" t="b">
        <v>0</v>
      </c>
    </row>
    <row r="155" spans="1:7" ht="15">
      <c r="A155" s="81" t="s">
        <v>2358</v>
      </c>
      <c r="B155" s="80">
        <v>9</v>
      </c>
      <c r="C155" s="104">
        <v>0.0014840981093673183</v>
      </c>
      <c r="D155" s="80" t="s">
        <v>3370</v>
      </c>
      <c r="E155" s="80" t="b">
        <v>0</v>
      </c>
      <c r="F155" s="80" t="b">
        <v>0</v>
      </c>
      <c r="G155" s="80" t="b">
        <v>0</v>
      </c>
    </row>
    <row r="156" spans="1:7" ht="15">
      <c r="A156" s="81" t="s">
        <v>2359</v>
      </c>
      <c r="B156" s="80">
        <v>9</v>
      </c>
      <c r="C156" s="104">
        <v>0.0013798937943048921</v>
      </c>
      <c r="D156" s="80" t="s">
        <v>3370</v>
      </c>
      <c r="E156" s="80" t="b">
        <v>0</v>
      </c>
      <c r="F156" s="80" t="b">
        <v>0</v>
      </c>
      <c r="G156" s="80" t="b">
        <v>0</v>
      </c>
    </row>
    <row r="157" spans="1:7" ht="15">
      <c r="A157" s="81" t="s">
        <v>2360</v>
      </c>
      <c r="B157" s="80">
        <v>9</v>
      </c>
      <c r="C157" s="104">
        <v>0.0012227668742207651</v>
      </c>
      <c r="D157" s="80" t="s">
        <v>3370</v>
      </c>
      <c r="E157" s="80" t="b">
        <v>0</v>
      </c>
      <c r="F157" s="80" t="b">
        <v>0</v>
      </c>
      <c r="G157" s="80" t="b">
        <v>0</v>
      </c>
    </row>
    <row r="158" spans="1:7" ht="15">
      <c r="A158" s="81" t="s">
        <v>2361</v>
      </c>
      <c r="B158" s="80">
        <v>9</v>
      </c>
      <c r="C158" s="104">
        <v>0.001105407229677681</v>
      </c>
      <c r="D158" s="80" t="s">
        <v>3370</v>
      </c>
      <c r="E158" s="80" t="b">
        <v>0</v>
      </c>
      <c r="F158" s="80" t="b">
        <v>0</v>
      </c>
      <c r="G158" s="80" t="b">
        <v>0</v>
      </c>
    </row>
    <row r="159" spans="1:7" ht="15">
      <c r="A159" s="81" t="s">
        <v>2362</v>
      </c>
      <c r="B159" s="80">
        <v>9</v>
      </c>
      <c r="C159" s="104">
        <v>0.0012947526695224999</v>
      </c>
      <c r="D159" s="80" t="s">
        <v>3370</v>
      </c>
      <c r="E159" s="80" t="b">
        <v>1</v>
      </c>
      <c r="F159" s="80" t="b">
        <v>0</v>
      </c>
      <c r="G159" s="80" t="b">
        <v>0</v>
      </c>
    </row>
    <row r="160" spans="1:7" ht="15">
      <c r="A160" s="81" t="s">
        <v>2363</v>
      </c>
      <c r="B160" s="80">
        <v>9</v>
      </c>
      <c r="C160" s="104">
        <v>0.0013798937943048921</v>
      </c>
      <c r="D160" s="80" t="s">
        <v>3370</v>
      </c>
      <c r="E160" s="80" t="b">
        <v>0</v>
      </c>
      <c r="F160" s="80" t="b">
        <v>0</v>
      </c>
      <c r="G160" s="80" t="b">
        <v>0</v>
      </c>
    </row>
    <row r="161" spans="1:7" ht="15">
      <c r="A161" s="81" t="s">
        <v>2364</v>
      </c>
      <c r="B161" s="80">
        <v>9</v>
      </c>
      <c r="C161" s="104">
        <v>0.0016184408369031248</v>
      </c>
      <c r="D161" s="80" t="s">
        <v>3370</v>
      </c>
      <c r="E161" s="80" t="b">
        <v>0</v>
      </c>
      <c r="F161" s="80" t="b">
        <v>0</v>
      </c>
      <c r="G161" s="80" t="b">
        <v>0</v>
      </c>
    </row>
    <row r="162" spans="1:7" ht="15">
      <c r="A162" s="81" t="s">
        <v>2365</v>
      </c>
      <c r="B162" s="80">
        <v>9</v>
      </c>
      <c r="C162" s="104">
        <v>0.0012947526695224999</v>
      </c>
      <c r="D162" s="80" t="s">
        <v>3370</v>
      </c>
      <c r="E162" s="80" t="b">
        <v>0</v>
      </c>
      <c r="F162" s="80" t="b">
        <v>0</v>
      </c>
      <c r="G162" s="80" t="b">
        <v>0</v>
      </c>
    </row>
    <row r="163" spans="1:7" ht="15">
      <c r="A163" s="81" t="s">
        <v>2366</v>
      </c>
      <c r="B163" s="80">
        <v>9</v>
      </c>
      <c r="C163" s="104">
        <v>0.001105407229677681</v>
      </c>
      <c r="D163" s="80" t="s">
        <v>3370</v>
      </c>
      <c r="E163" s="80" t="b">
        <v>0</v>
      </c>
      <c r="F163" s="80" t="b">
        <v>0</v>
      </c>
      <c r="G163" s="80" t="b">
        <v>0</v>
      </c>
    </row>
    <row r="164" spans="1:7" ht="15">
      <c r="A164" s="81" t="s">
        <v>2367</v>
      </c>
      <c r="B164" s="80">
        <v>9</v>
      </c>
      <c r="C164" s="104">
        <v>0.0012227668742207651</v>
      </c>
      <c r="D164" s="80" t="s">
        <v>3370</v>
      </c>
      <c r="E164" s="80" t="b">
        <v>0</v>
      </c>
      <c r="F164" s="80" t="b">
        <v>0</v>
      </c>
      <c r="G164" s="80" t="b">
        <v>0</v>
      </c>
    </row>
    <row r="165" spans="1:7" ht="15">
      <c r="A165" s="81" t="s">
        <v>2368</v>
      </c>
      <c r="B165" s="80">
        <v>9</v>
      </c>
      <c r="C165" s="104">
        <v>0.001105407229677681</v>
      </c>
      <c r="D165" s="80" t="s">
        <v>3370</v>
      </c>
      <c r="E165" s="80" t="b">
        <v>0</v>
      </c>
      <c r="F165" s="80" t="b">
        <v>0</v>
      </c>
      <c r="G165" s="80" t="b">
        <v>0</v>
      </c>
    </row>
    <row r="166" spans="1:7" ht="15">
      <c r="A166" s="81" t="s">
        <v>2369</v>
      </c>
      <c r="B166" s="80">
        <v>9</v>
      </c>
      <c r="C166" s="104">
        <v>0.0011604099419866933</v>
      </c>
      <c r="D166" s="80" t="s">
        <v>3370</v>
      </c>
      <c r="E166" s="80" t="b">
        <v>0</v>
      </c>
      <c r="F166" s="80" t="b">
        <v>0</v>
      </c>
      <c r="G166" s="80" t="b">
        <v>0</v>
      </c>
    </row>
    <row r="167" spans="1:7" ht="15">
      <c r="A167" s="81" t="s">
        <v>2370</v>
      </c>
      <c r="B167" s="80">
        <v>9</v>
      </c>
      <c r="C167" s="104">
        <v>0.0012227668742207651</v>
      </c>
      <c r="D167" s="80" t="s">
        <v>3370</v>
      </c>
      <c r="E167" s="80" t="b">
        <v>0</v>
      </c>
      <c r="F167" s="80" t="b">
        <v>0</v>
      </c>
      <c r="G167" s="80" t="b">
        <v>0</v>
      </c>
    </row>
    <row r="168" spans="1:7" ht="15">
      <c r="A168" s="81" t="s">
        <v>2371</v>
      </c>
      <c r="B168" s="80">
        <v>8</v>
      </c>
      <c r="C168" s="104">
        <v>0.001031475503988172</v>
      </c>
      <c r="D168" s="80" t="s">
        <v>3370</v>
      </c>
      <c r="E168" s="80" t="b">
        <v>0</v>
      </c>
      <c r="F168" s="80" t="b">
        <v>0</v>
      </c>
      <c r="G168" s="80" t="b">
        <v>0</v>
      </c>
    </row>
    <row r="169" spans="1:7" ht="15">
      <c r="A169" s="81" t="s">
        <v>2372</v>
      </c>
      <c r="B169" s="80">
        <v>8</v>
      </c>
      <c r="C169" s="104">
        <v>0.0010869038881962355</v>
      </c>
      <c r="D169" s="80" t="s">
        <v>3370</v>
      </c>
      <c r="E169" s="80" t="b">
        <v>0</v>
      </c>
      <c r="F169" s="80" t="b">
        <v>0</v>
      </c>
      <c r="G169" s="80" t="b">
        <v>0</v>
      </c>
    </row>
    <row r="170" spans="1:7" ht="15">
      <c r="A170" s="81" t="s">
        <v>2373</v>
      </c>
      <c r="B170" s="80">
        <v>8</v>
      </c>
      <c r="C170" s="104">
        <v>0.0010869038881962355</v>
      </c>
      <c r="D170" s="80" t="s">
        <v>3370</v>
      </c>
      <c r="E170" s="80" t="b">
        <v>1</v>
      </c>
      <c r="F170" s="80" t="b">
        <v>0</v>
      </c>
      <c r="G170" s="80" t="b">
        <v>0</v>
      </c>
    </row>
    <row r="171" spans="1:7" ht="15">
      <c r="A171" s="81" t="s">
        <v>2374</v>
      </c>
      <c r="B171" s="80">
        <v>8</v>
      </c>
      <c r="C171" s="104">
        <v>0.001438614077247222</v>
      </c>
      <c r="D171" s="80" t="s">
        <v>3370</v>
      </c>
      <c r="E171" s="80" t="b">
        <v>0</v>
      </c>
      <c r="F171" s="80" t="b">
        <v>0</v>
      </c>
      <c r="G171" s="80" t="b">
        <v>0</v>
      </c>
    </row>
    <row r="172" spans="1:7" ht="15">
      <c r="A172" s="81" t="s">
        <v>2375</v>
      </c>
      <c r="B172" s="80">
        <v>8</v>
      </c>
      <c r="C172" s="104">
        <v>0.0012265722616043484</v>
      </c>
      <c r="D172" s="80" t="s">
        <v>3370</v>
      </c>
      <c r="E172" s="80" t="b">
        <v>0</v>
      </c>
      <c r="F172" s="80" t="b">
        <v>0</v>
      </c>
      <c r="G172" s="80" t="b">
        <v>0</v>
      </c>
    </row>
    <row r="173" spans="1:7" ht="15">
      <c r="A173" s="81" t="s">
        <v>2376</v>
      </c>
      <c r="B173" s="80">
        <v>8</v>
      </c>
      <c r="C173" s="104">
        <v>0.0012265722616043484</v>
      </c>
      <c r="D173" s="80" t="s">
        <v>3370</v>
      </c>
      <c r="E173" s="80" t="b">
        <v>0</v>
      </c>
      <c r="F173" s="80" t="b">
        <v>0</v>
      </c>
      <c r="G173" s="80" t="b">
        <v>0</v>
      </c>
    </row>
    <row r="174" spans="1:7" ht="15">
      <c r="A174" s="81" t="s">
        <v>2377</v>
      </c>
      <c r="B174" s="80">
        <v>8</v>
      </c>
      <c r="C174" s="104">
        <v>0.0016069211348870606</v>
      </c>
      <c r="D174" s="80" t="s">
        <v>3370</v>
      </c>
      <c r="E174" s="80" t="b">
        <v>0</v>
      </c>
      <c r="F174" s="80" t="b">
        <v>0</v>
      </c>
      <c r="G174" s="80" t="b">
        <v>0</v>
      </c>
    </row>
    <row r="175" spans="1:7" ht="15">
      <c r="A175" s="81" t="s">
        <v>2378</v>
      </c>
      <c r="B175" s="80">
        <v>8</v>
      </c>
      <c r="C175" s="104">
        <v>0.0010869038881962355</v>
      </c>
      <c r="D175" s="80" t="s">
        <v>3370</v>
      </c>
      <c r="E175" s="80" t="b">
        <v>0</v>
      </c>
      <c r="F175" s="80" t="b">
        <v>1</v>
      </c>
      <c r="G175" s="80" t="b">
        <v>0</v>
      </c>
    </row>
    <row r="176" spans="1:7" ht="15">
      <c r="A176" s="81" t="s">
        <v>2379</v>
      </c>
      <c r="B176" s="80">
        <v>8</v>
      </c>
      <c r="C176" s="104">
        <v>0.001031475503988172</v>
      </c>
      <c r="D176" s="80" t="s">
        <v>3370</v>
      </c>
      <c r="E176" s="80" t="b">
        <v>0</v>
      </c>
      <c r="F176" s="80" t="b">
        <v>0</v>
      </c>
      <c r="G176" s="80" t="b">
        <v>0</v>
      </c>
    </row>
    <row r="177" spans="1:7" ht="15">
      <c r="A177" s="81" t="s">
        <v>2380</v>
      </c>
      <c r="B177" s="80">
        <v>8</v>
      </c>
      <c r="C177" s="104">
        <v>0.0012265722616043484</v>
      </c>
      <c r="D177" s="80" t="s">
        <v>3370</v>
      </c>
      <c r="E177" s="80" t="b">
        <v>0</v>
      </c>
      <c r="F177" s="80" t="b">
        <v>0</v>
      </c>
      <c r="G177" s="80" t="b">
        <v>0</v>
      </c>
    </row>
    <row r="178" spans="1:7" ht="15">
      <c r="A178" s="81" t="s">
        <v>2381</v>
      </c>
      <c r="B178" s="80">
        <v>8</v>
      </c>
      <c r="C178" s="104">
        <v>0.001319198319437616</v>
      </c>
      <c r="D178" s="80" t="s">
        <v>3370</v>
      </c>
      <c r="E178" s="80" t="b">
        <v>0</v>
      </c>
      <c r="F178" s="80" t="b">
        <v>0</v>
      </c>
      <c r="G178" s="80" t="b">
        <v>0</v>
      </c>
    </row>
    <row r="179" spans="1:7" ht="15">
      <c r="A179" s="81" t="s">
        <v>2382</v>
      </c>
      <c r="B179" s="80">
        <v>8</v>
      </c>
      <c r="C179" s="104">
        <v>0.001031475503988172</v>
      </c>
      <c r="D179" s="80" t="s">
        <v>3370</v>
      </c>
      <c r="E179" s="80" t="b">
        <v>0</v>
      </c>
      <c r="F179" s="80" t="b">
        <v>0</v>
      </c>
      <c r="G179" s="80" t="b">
        <v>0</v>
      </c>
    </row>
    <row r="180" spans="1:7" ht="15">
      <c r="A180" s="81" t="s">
        <v>2383</v>
      </c>
      <c r="B180" s="80">
        <v>8</v>
      </c>
      <c r="C180" s="104">
        <v>0.001438614077247222</v>
      </c>
      <c r="D180" s="80" t="s">
        <v>3370</v>
      </c>
      <c r="E180" s="80" t="b">
        <v>1</v>
      </c>
      <c r="F180" s="80" t="b">
        <v>0</v>
      </c>
      <c r="G180" s="80" t="b">
        <v>0</v>
      </c>
    </row>
    <row r="181" spans="1:7" ht="15">
      <c r="A181" s="81" t="s">
        <v>2384</v>
      </c>
      <c r="B181" s="80">
        <v>8</v>
      </c>
      <c r="C181" s="104">
        <v>0.001031475503988172</v>
      </c>
      <c r="D181" s="80" t="s">
        <v>3370</v>
      </c>
      <c r="E181" s="80" t="b">
        <v>0</v>
      </c>
      <c r="F181" s="80" t="b">
        <v>0</v>
      </c>
      <c r="G181" s="80" t="b">
        <v>0</v>
      </c>
    </row>
    <row r="182" spans="1:7" ht="15">
      <c r="A182" s="81" t="s">
        <v>2385</v>
      </c>
      <c r="B182" s="80">
        <v>8</v>
      </c>
      <c r="C182" s="104">
        <v>0.0012265722616043484</v>
      </c>
      <c r="D182" s="80" t="s">
        <v>3370</v>
      </c>
      <c r="E182" s="80" t="b">
        <v>0</v>
      </c>
      <c r="F182" s="80" t="b">
        <v>0</v>
      </c>
      <c r="G182" s="80" t="b">
        <v>0</v>
      </c>
    </row>
    <row r="183" spans="1:7" ht="15">
      <c r="A183" s="81" t="s">
        <v>2386</v>
      </c>
      <c r="B183" s="80">
        <v>8</v>
      </c>
      <c r="C183" s="104">
        <v>0.001894643950336505</v>
      </c>
      <c r="D183" s="80" t="s">
        <v>3370</v>
      </c>
      <c r="E183" s="80" t="b">
        <v>0</v>
      </c>
      <c r="F183" s="80" t="b">
        <v>0</v>
      </c>
      <c r="G183" s="80" t="b">
        <v>0</v>
      </c>
    </row>
    <row r="184" spans="1:7" ht="15">
      <c r="A184" s="81" t="s">
        <v>2387</v>
      </c>
      <c r="B184" s="80">
        <v>8</v>
      </c>
      <c r="C184" s="104">
        <v>0.0016069211348870606</v>
      </c>
      <c r="D184" s="80" t="s">
        <v>3370</v>
      </c>
      <c r="E184" s="80" t="b">
        <v>0</v>
      </c>
      <c r="F184" s="80" t="b">
        <v>0</v>
      </c>
      <c r="G184" s="80" t="b">
        <v>0</v>
      </c>
    </row>
    <row r="185" spans="1:7" ht="15">
      <c r="A185" s="81" t="s">
        <v>2388</v>
      </c>
      <c r="B185" s="80">
        <v>8</v>
      </c>
      <c r="C185" s="104">
        <v>0.001894643950336505</v>
      </c>
      <c r="D185" s="80" t="s">
        <v>3370</v>
      </c>
      <c r="E185" s="80" t="b">
        <v>0</v>
      </c>
      <c r="F185" s="80" t="b">
        <v>0</v>
      </c>
      <c r="G185" s="80" t="b">
        <v>0</v>
      </c>
    </row>
    <row r="186" spans="1:7" ht="15">
      <c r="A186" s="81" t="s">
        <v>2389</v>
      </c>
      <c r="B186" s="80">
        <v>8</v>
      </c>
      <c r="C186" s="104">
        <v>0.001031475503988172</v>
      </c>
      <c r="D186" s="80" t="s">
        <v>3370</v>
      </c>
      <c r="E186" s="80" t="b">
        <v>0</v>
      </c>
      <c r="F186" s="80" t="b">
        <v>0</v>
      </c>
      <c r="G186" s="80" t="b">
        <v>0</v>
      </c>
    </row>
    <row r="187" spans="1:7" ht="15">
      <c r="A187" s="81" t="s">
        <v>2390</v>
      </c>
      <c r="B187" s="80">
        <v>8</v>
      </c>
      <c r="C187" s="104">
        <v>0.0011508912617977775</v>
      </c>
      <c r="D187" s="80" t="s">
        <v>3370</v>
      </c>
      <c r="E187" s="80" t="b">
        <v>0</v>
      </c>
      <c r="F187" s="80" t="b">
        <v>0</v>
      </c>
      <c r="G187" s="80" t="b">
        <v>0</v>
      </c>
    </row>
    <row r="188" spans="1:7" ht="15">
      <c r="A188" s="81" t="s">
        <v>2391</v>
      </c>
      <c r="B188" s="80">
        <v>8</v>
      </c>
      <c r="C188" s="104">
        <v>0.0010869038881962355</v>
      </c>
      <c r="D188" s="80" t="s">
        <v>3370</v>
      </c>
      <c r="E188" s="80" t="b">
        <v>0</v>
      </c>
      <c r="F188" s="80" t="b">
        <v>0</v>
      </c>
      <c r="G188" s="80" t="b">
        <v>0</v>
      </c>
    </row>
    <row r="189" spans="1:7" ht="15">
      <c r="A189" s="81" t="s">
        <v>2392</v>
      </c>
      <c r="B189" s="80">
        <v>8</v>
      </c>
      <c r="C189" s="104">
        <v>0.0011508912617977775</v>
      </c>
      <c r="D189" s="80" t="s">
        <v>3370</v>
      </c>
      <c r="E189" s="80" t="b">
        <v>0</v>
      </c>
      <c r="F189" s="80" t="b">
        <v>0</v>
      </c>
      <c r="G189" s="80" t="b">
        <v>0</v>
      </c>
    </row>
    <row r="190" spans="1:7" ht="15">
      <c r="A190" s="81" t="s">
        <v>2393</v>
      </c>
      <c r="B190" s="80">
        <v>8</v>
      </c>
      <c r="C190" s="104">
        <v>0.001031475503988172</v>
      </c>
      <c r="D190" s="80" t="s">
        <v>3370</v>
      </c>
      <c r="E190" s="80" t="b">
        <v>0</v>
      </c>
      <c r="F190" s="80" t="b">
        <v>0</v>
      </c>
      <c r="G190" s="80" t="b">
        <v>0</v>
      </c>
    </row>
    <row r="191" spans="1:7" ht="15">
      <c r="A191" s="81" t="s">
        <v>2394</v>
      </c>
      <c r="B191" s="80">
        <v>7</v>
      </c>
      <c r="C191" s="104">
        <v>0.0009510409021717062</v>
      </c>
      <c r="D191" s="80" t="s">
        <v>3370</v>
      </c>
      <c r="E191" s="80" t="b">
        <v>0</v>
      </c>
      <c r="F191" s="80" t="b">
        <v>0</v>
      </c>
      <c r="G191" s="80" t="b">
        <v>0</v>
      </c>
    </row>
    <row r="192" spans="1:7" ht="15">
      <c r="A192" s="81" t="s">
        <v>2395</v>
      </c>
      <c r="B192" s="80">
        <v>7</v>
      </c>
      <c r="C192" s="104">
        <v>0.001657813456544442</v>
      </c>
      <c r="D192" s="80" t="s">
        <v>3370</v>
      </c>
      <c r="E192" s="80" t="b">
        <v>0</v>
      </c>
      <c r="F192" s="80" t="b">
        <v>0</v>
      </c>
      <c r="G192" s="80" t="b">
        <v>0</v>
      </c>
    </row>
    <row r="193" spans="1:7" ht="15">
      <c r="A193" s="81" t="s">
        <v>2396</v>
      </c>
      <c r="B193" s="80">
        <v>7</v>
      </c>
      <c r="C193" s="104">
        <v>0.0009510409021717062</v>
      </c>
      <c r="D193" s="80" t="s">
        <v>3370</v>
      </c>
      <c r="E193" s="80" t="b">
        <v>0</v>
      </c>
      <c r="F193" s="80" t="b">
        <v>0</v>
      </c>
      <c r="G193" s="80" t="b">
        <v>0</v>
      </c>
    </row>
    <row r="194" spans="1:7" ht="15">
      <c r="A194" s="81" t="s">
        <v>2397</v>
      </c>
      <c r="B194" s="80">
        <v>7</v>
      </c>
      <c r="C194" s="104">
        <v>0.0010070298540730553</v>
      </c>
      <c r="D194" s="80" t="s">
        <v>3370</v>
      </c>
      <c r="E194" s="80" t="b">
        <v>0</v>
      </c>
      <c r="F194" s="80" t="b">
        <v>0</v>
      </c>
      <c r="G194" s="80" t="b">
        <v>0</v>
      </c>
    </row>
    <row r="195" spans="1:7" ht="15">
      <c r="A195" s="81" t="s">
        <v>2398</v>
      </c>
      <c r="B195" s="80">
        <v>7</v>
      </c>
      <c r="C195" s="104">
        <v>0.0010070298540730553</v>
      </c>
      <c r="D195" s="80" t="s">
        <v>3370</v>
      </c>
      <c r="E195" s="80" t="b">
        <v>0</v>
      </c>
      <c r="F195" s="80" t="b">
        <v>0</v>
      </c>
      <c r="G195" s="80" t="b">
        <v>0</v>
      </c>
    </row>
    <row r="196" spans="1:7" ht="15">
      <c r="A196" s="81" t="s">
        <v>2399</v>
      </c>
      <c r="B196" s="80">
        <v>7</v>
      </c>
      <c r="C196" s="104">
        <v>0.001406055993026178</v>
      </c>
      <c r="D196" s="80" t="s">
        <v>3370</v>
      </c>
      <c r="E196" s="80" t="b">
        <v>0</v>
      </c>
      <c r="F196" s="80" t="b">
        <v>0</v>
      </c>
      <c r="G196" s="80" t="b">
        <v>0</v>
      </c>
    </row>
    <row r="197" spans="1:7" ht="15">
      <c r="A197" s="81" t="s">
        <v>2400</v>
      </c>
      <c r="B197" s="80">
        <v>7</v>
      </c>
      <c r="C197" s="104">
        <v>0.0011542985295079143</v>
      </c>
      <c r="D197" s="80" t="s">
        <v>3370</v>
      </c>
      <c r="E197" s="80" t="b">
        <v>0</v>
      </c>
      <c r="F197" s="80" t="b">
        <v>0</v>
      </c>
      <c r="G197" s="80" t="b">
        <v>0</v>
      </c>
    </row>
    <row r="198" spans="1:7" ht="15">
      <c r="A198" s="81" t="s">
        <v>2401</v>
      </c>
      <c r="B198" s="80">
        <v>7</v>
      </c>
      <c r="C198" s="104">
        <v>0.0012587873175913193</v>
      </c>
      <c r="D198" s="80" t="s">
        <v>3370</v>
      </c>
      <c r="E198" s="80" t="b">
        <v>0</v>
      </c>
      <c r="F198" s="80" t="b">
        <v>0</v>
      </c>
      <c r="G198" s="80" t="b">
        <v>0</v>
      </c>
    </row>
    <row r="199" spans="1:7" ht="15">
      <c r="A199" s="81" t="s">
        <v>2402</v>
      </c>
      <c r="B199" s="80">
        <v>7</v>
      </c>
      <c r="C199" s="104">
        <v>0.0011542985295079143</v>
      </c>
      <c r="D199" s="80" t="s">
        <v>3370</v>
      </c>
      <c r="E199" s="80" t="b">
        <v>0</v>
      </c>
      <c r="F199" s="80" t="b">
        <v>0</v>
      </c>
      <c r="G199" s="80" t="b">
        <v>0</v>
      </c>
    </row>
    <row r="200" spans="1:7" ht="15">
      <c r="A200" s="81" t="s">
        <v>2403</v>
      </c>
      <c r="B200" s="80">
        <v>7</v>
      </c>
      <c r="C200" s="104">
        <v>0.0009510409021717062</v>
      </c>
      <c r="D200" s="80" t="s">
        <v>3370</v>
      </c>
      <c r="E200" s="80" t="b">
        <v>0</v>
      </c>
      <c r="F200" s="80" t="b">
        <v>0</v>
      </c>
      <c r="G200" s="80" t="b">
        <v>0</v>
      </c>
    </row>
    <row r="201" spans="1:7" ht="15">
      <c r="A201" s="81" t="s">
        <v>2404</v>
      </c>
      <c r="B201" s="80">
        <v>7</v>
      </c>
      <c r="C201" s="104">
        <v>0.0009510409021717062</v>
      </c>
      <c r="D201" s="80" t="s">
        <v>3370</v>
      </c>
      <c r="E201" s="80" t="b">
        <v>0</v>
      </c>
      <c r="F201" s="80" t="b">
        <v>0</v>
      </c>
      <c r="G201" s="80" t="b">
        <v>0</v>
      </c>
    </row>
    <row r="202" spans="1:7" ht="15">
      <c r="A202" s="81" t="s">
        <v>2405</v>
      </c>
      <c r="B202" s="80">
        <v>7</v>
      </c>
      <c r="C202" s="104">
        <v>0.001657813456544442</v>
      </c>
      <c r="D202" s="80" t="s">
        <v>3370</v>
      </c>
      <c r="E202" s="80" t="b">
        <v>0</v>
      </c>
      <c r="F202" s="80" t="b">
        <v>0</v>
      </c>
      <c r="G202" s="80" t="b">
        <v>0</v>
      </c>
    </row>
    <row r="203" spans="1:7" ht="15">
      <c r="A203" s="81" t="s">
        <v>2406</v>
      </c>
      <c r="B203" s="80">
        <v>7</v>
      </c>
      <c r="C203" s="104">
        <v>0.0010732507289038051</v>
      </c>
      <c r="D203" s="80" t="s">
        <v>3370</v>
      </c>
      <c r="E203" s="80" t="b">
        <v>0</v>
      </c>
      <c r="F203" s="80" t="b">
        <v>0</v>
      </c>
      <c r="G203" s="80" t="b">
        <v>0</v>
      </c>
    </row>
    <row r="204" spans="1:7" ht="15">
      <c r="A204" s="81" t="s">
        <v>2407</v>
      </c>
      <c r="B204" s="80">
        <v>7</v>
      </c>
      <c r="C204" s="104">
        <v>0.0009510409021717062</v>
      </c>
      <c r="D204" s="80" t="s">
        <v>3370</v>
      </c>
      <c r="E204" s="80" t="b">
        <v>0</v>
      </c>
      <c r="F204" s="80" t="b">
        <v>0</v>
      </c>
      <c r="G204" s="80" t="b">
        <v>0</v>
      </c>
    </row>
    <row r="205" spans="1:7" ht="15">
      <c r="A205" s="81" t="s">
        <v>2408</v>
      </c>
      <c r="B205" s="80">
        <v>7</v>
      </c>
      <c r="C205" s="104">
        <v>0.0011542985295079143</v>
      </c>
      <c r="D205" s="80" t="s">
        <v>3370</v>
      </c>
      <c r="E205" s="80" t="b">
        <v>0</v>
      </c>
      <c r="F205" s="80" t="b">
        <v>0</v>
      </c>
      <c r="G205" s="80" t="b">
        <v>0</v>
      </c>
    </row>
    <row r="206" spans="1:7" ht="15">
      <c r="A206" s="81" t="s">
        <v>2409</v>
      </c>
      <c r="B206" s="80">
        <v>7</v>
      </c>
      <c r="C206" s="104">
        <v>0.0010070298540730553</v>
      </c>
      <c r="D206" s="80" t="s">
        <v>3370</v>
      </c>
      <c r="E206" s="80" t="b">
        <v>0</v>
      </c>
      <c r="F206" s="80" t="b">
        <v>0</v>
      </c>
      <c r="G206" s="80" t="b">
        <v>0</v>
      </c>
    </row>
    <row r="207" spans="1:7" ht="15">
      <c r="A207" s="81" t="s">
        <v>2410</v>
      </c>
      <c r="B207" s="80">
        <v>7</v>
      </c>
      <c r="C207" s="104">
        <v>0.0010070298540730553</v>
      </c>
      <c r="D207" s="80" t="s">
        <v>3370</v>
      </c>
      <c r="E207" s="80" t="b">
        <v>0</v>
      </c>
      <c r="F207" s="80" t="b">
        <v>0</v>
      </c>
      <c r="G207" s="80" t="b">
        <v>0</v>
      </c>
    </row>
    <row r="208" spans="1:7" ht="15">
      <c r="A208" s="81" t="s">
        <v>2411</v>
      </c>
      <c r="B208" s="80">
        <v>7</v>
      </c>
      <c r="C208" s="104">
        <v>0.0010070298540730553</v>
      </c>
      <c r="D208" s="80" t="s">
        <v>3370</v>
      </c>
      <c r="E208" s="80" t="b">
        <v>0</v>
      </c>
      <c r="F208" s="80" t="b">
        <v>0</v>
      </c>
      <c r="G208" s="80" t="b">
        <v>0</v>
      </c>
    </row>
    <row r="209" spans="1:7" ht="15">
      <c r="A209" s="81" t="s">
        <v>2412</v>
      </c>
      <c r="B209" s="80">
        <v>7</v>
      </c>
      <c r="C209" s="104">
        <v>0.0010732507289038051</v>
      </c>
      <c r="D209" s="80" t="s">
        <v>3370</v>
      </c>
      <c r="E209" s="80" t="b">
        <v>0</v>
      </c>
      <c r="F209" s="80" t="b">
        <v>0</v>
      </c>
      <c r="G209" s="80" t="b">
        <v>0</v>
      </c>
    </row>
    <row r="210" spans="1:7" ht="15">
      <c r="A210" s="81" t="s">
        <v>2413</v>
      </c>
      <c r="B210" s="80">
        <v>7</v>
      </c>
      <c r="C210" s="104">
        <v>0.001406055993026178</v>
      </c>
      <c r="D210" s="80" t="s">
        <v>3370</v>
      </c>
      <c r="E210" s="80" t="b">
        <v>0</v>
      </c>
      <c r="F210" s="80" t="b">
        <v>0</v>
      </c>
      <c r="G210" s="80" t="b">
        <v>0</v>
      </c>
    </row>
    <row r="211" spans="1:7" ht="15">
      <c r="A211" s="81" t="s">
        <v>2414</v>
      </c>
      <c r="B211" s="80">
        <v>7</v>
      </c>
      <c r="C211" s="104">
        <v>0.0009510409021717062</v>
      </c>
      <c r="D211" s="80" t="s">
        <v>3370</v>
      </c>
      <c r="E211" s="80" t="b">
        <v>0</v>
      </c>
      <c r="F211" s="80" t="b">
        <v>0</v>
      </c>
      <c r="G211" s="80" t="b">
        <v>0</v>
      </c>
    </row>
    <row r="212" spans="1:7" ht="15">
      <c r="A212" s="81" t="s">
        <v>2415</v>
      </c>
      <c r="B212" s="80">
        <v>7</v>
      </c>
      <c r="C212" s="104">
        <v>0.0009510409021717062</v>
      </c>
      <c r="D212" s="80" t="s">
        <v>3370</v>
      </c>
      <c r="E212" s="80" t="b">
        <v>0</v>
      </c>
      <c r="F212" s="80" t="b">
        <v>0</v>
      </c>
      <c r="G212" s="80" t="b">
        <v>0</v>
      </c>
    </row>
    <row r="213" spans="1:7" ht="15">
      <c r="A213" s="81" t="s">
        <v>2416</v>
      </c>
      <c r="B213" s="80">
        <v>7</v>
      </c>
      <c r="C213" s="104">
        <v>0.001657813456544442</v>
      </c>
      <c r="D213" s="80" t="s">
        <v>3370</v>
      </c>
      <c r="E213" s="80" t="b">
        <v>0</v>
      </c>
      <c r="F213" s="80" t="b">
        <v>0</v>
      </c>
      <c r="G213" s="80" t="b">
        <v>0</v>
      </c>
    </row>
    <row r="214" spans="1:7" ht="15">
      <c r="A214" s="81" t="s">
        <v>2417</v>
      </c>
      <c r="B214" s="80">
        <v>7</v>
      </c>
      <c r="C214" s="104">
        <v>0.0009510409021717062</v>
      </c>
      <c r="D214" s="80" t="s">
        <v>3370</v>
      </c>
      <c r="E214" s="80" t="b">
        <v>0</v>
      </c>
      <c r="F214" s="80" t="b">
        <v>0</v>
      </c>
      <c r="G214" s="80" t="b">
        <v>0</v>
      </c>
    </row>
    <row r="215" spans="1:7" ht="15">
      <c r="A215" s="81" t="s">
        <v>2418</v>
      </c>
      <c r="B215" s="80">
        <v>7</v>
      </c>
      <c r="C215" s="104">
        <v>0.001657813456544442</v>
      </c>
      <c r="D215" s="80" t="s">
        <v>3370</v>
      </c>
      <c r="E215" s="80" t="b">
        <v>0</v>
      </c>
      <c r="F215" s="80" t="b">
        <v>0</v>
      </c>
      <c r="G215" s="80" t="b">
        <v>0</v>
      </c>
    </row>
    <row r="216" spans="1:7" ht="15">
      <c r="A216" s="81" t="s">
        <v>2419</v>
      </c>
      <c r="B216" s="80">
        <v>7</v>
      </c>
      <c r="C216" s="104">
        <v>0.0012587873175913193</v>
      </c>
      <c r="D216" s="80" t="s">
        <v>3370</v>
      </c>
      <c r="E216" s="80" t="b">
        <v>0</v>
      </c>
      <c r="F216" s="80" t="b">
        <v>0</v>
      </c>
      <c r="G216" s="80" t="b">
        <v>0</v>
      </c>
    </row>
    <row r="217" spans="1:7" ht="15">
      <c r="A217" s="81" t="s">
        <v>2420</v>
      </c>
      <c r="B217" s="80">
        <v>7</v>
      </c>
      <c r="C217" s="104">
        <v>0.0009510409021717062</v>
      </c>
      <c r="D217" s="80" t="s">
        <v>3370</v>
      </c>
      <c r="E217" s="80" t="b">
        <v>0</v>
      </c>
      <c r="F217" s="80" t="b">
        <v>0</v>
      </c>
      <c r="G217" s="80" t="b">
        <v>0</v>
      </c>
    </row>
    <row r="218" spans="1:7" ht="15">
      <c r="A218" s="81" t="s">
        <v>2421</v>
      </c>
      <c r="B218" s="80">
        <v>7</v>
      </c>
      <c r="C218" s="104">
        <v>0.0011542985295079143</v>
      </c>
      <c r="D218" s="80" t="s">
        <v>3370</v>
      </c>
      <c r="E218" s="80" t="b">
        <v>0</v>
      </c>
      <c r="F218" s="80" t="b">
        <v>0</v>
      </c>
      <c r="G218" s="80" t="b">
        <v>0</v>
      </c>
    </row>
    <row r="219" spans="1:7" ht="15">
      <c r="A219" s="81" t="s">
        <v>2422</v>
      </c>
      <c r="B219" s="80">
        <v>7</v>
      </c>
      <c r="C219" s="104">
        <v>0.001657813456544442</v>
      </c>
      <c r="D219" s="80" t="s">
        <v>3370</v>
      </c>
      <c r="E219" s="80" t="b">
        <v>0</v>
      </c>
      <c r="F219" s="80" t="b">
        <v>0</v>
      </c>
      <c r="G219" s="80" t="b">
        <v>0</v>
      </c>
    </row>
    <row r="220" spans="1:7" ht="15">
      <c r="A220" s="81" t="s">
        <v>2423</v>
      </c>
      <c r="B220" s="80">
        <v>7</v>
      </c>
      <c r="C220" s="104">
        <v>0.0010070298540730553</v>
      </c>
      <c r="D220" s="80" t="s">
        <v>3370</v>
      </c>
      <c r="E220" s="80" t="b">
        <v>0</v>
      </c>
      <c r="F220" s="80" t="b">
        <v>0</v>
      </c>
      <c r="G220" s="80" t="b">
        <v>0</v>
      </c>
    </row>
    <row r="221" spans="1:7" ht="15">
      <c r="A221" s="81" t="s">
        <v>2424</v>
      </c>
      <c r="B221" s="80">
        <v>7</v>
      </c>
      <c r="C221" s="104">
        <v>0.0010732507289038051</v>
      </c>
      <c r="D221" s="80" t="s">
        <v>3370</v>
      </c>
      <c r="E221" s="80" t="b">
        <v>0</v>
      </c>
      <c r="F221" s="80" t="b">
        <v>0</v>
      </c>
      <c r="G221" s="80" t="b">
        <v>0</v>
      </c>
    </row>
    <row r="222" spans="1:7" ht="15">
      <c r="A222" s="81" t="s">
        <v>2425</v>
      </c>
      <c r="B222" s="80">
        <v>7</v>
      </c>
      <c r="C222" s="104">
        <v>0.0009510409021717062</v>
      </c>
      <c r="D222" s="80" t="s">
        <v>3370</v>
      </c>
      <c r="E222" s="80" t="b">
        <v>0</v>
      </c>
      <c r="F222" s="80" t="b">
        <v>0</v>
      </c>
      <c r="G222" s="80" t="b">
        <v>0</v>
      </c>
    </row>
    <row r="223" spans="1:7" ht="15">
      <c r="A223" s="81" t="s">
        <v>2426</v>
      </c>
      <c r="B223" s="80">
        <v>6</v>
      </c>
      <c r="C223" s="104">
        <v>0.0010789605579354165</v>
      </c>
      <c r="D223" s="80" t="s">
        <v>3370</v>
      </c>
      <c r="E223" s="80" t="b">
        <v>0</v>
      </c>
      <c r="F223" s="80" t="b">
        <v>0</v>
      </c>
      <c r="G223" s="80" t="b">
        <v>0</v>
      </c>
    </row>
    <row r="224" spans="1:7" ht="15">
      <c r="A224" s="81" t="s">
        <v>2427</v>
      </c>
      <c r="B224" s="80">
        <v>6</v>
      </c>
      <c r="C224" s="104">
        <v>0.0008631684463483332</v>
      </c>
      <c r="D224" s="80" t="s">
        <v>3370</v>
      </c>
      <c r="E224" s="80" t="b">
        <v>0</v>
      </c>
      <c r="F224" s="80" t="b">
        <v>0</v>
      </c>
      <c r="G224" s="80" t="b">
        <v>0</v>
      </c>
    </row>
    <row r="225" spans="1:7" ht="15">
      <c r="A225" s="81" t="s">
        <v>2428</v>
      </c>
      <c r="B225" s="80">
        <v>6</v>
      </c>
      <c r="C225" s="104">
        <v>0.000989398739578212</v>
      </c>
      <c r="D225" s="80" t="s">
        <v>3370</v>
      </c>
      <c r="E225" s="80" t="b">
        <v>0</v>
      </c>
      <c r="F225" s="80" t="b">
        <v>0</v>
      </c>
      <c r="G225" s="80" t="b">
        <v>0</v>
      </c>
    </row>
    <row r="226" spans="1:7" ht="15">
      <c r="A226" s="81" t="s">
        <v>2429</v>
      </c>
      <c r="B226" s="80">
        <v>6</v>
      </c>
      <c r="C226" s="104">
        <v>0.0012051908511652954</v>
      </c>
      <c r="D226" s="80" t="s">
        <v>3370</v>
      </c>
      <c r="E226" s="80" t="b">
        <v>0</v>
      </c>
      <c r="F226" s="80" t="b">
        <v>0</v>
      </c>
      <c r="G226" s="80" t="b">
        <v>0</v>
      </c>
    </row>
    <row r="227" spans="1:7" ht="15">
      <c r="A227" s="81" t="s">
        <v>2430</v>
      </c>
      <c r="B227" s="80">
        <v>6</v>
      </c>
      <c r="C227" s="104">
        <v>0.0009199291962032614</v>
      </c>
      <c r="D227" s="80" t="s">
        <v>3370</v>
      </c>
      <c r="E227" s="80" t="b">
        <v>0</v>
      </c>
      <c r="F227" s="80" t="b">
        <v>0</v>
      </c>
      <c r="G227" s="80" t="b">
        <v>0</v>
      </c>
    </row>
    <row r="228" spans="1:7" ht="15">
      <c r="A228" s="81" t="s">
        <v>2431</v>
      </c>
      <c r="B228" s="80">
        <v>6</v>
      </c>
      <c r="C228" s="104">
        <v>0.0012051908511652954</v>
      </c>
      <c r="D228" s="80" t="s">
        <v>3370</v>
      </c>
      <c r="E228" s="80" t="b">
        <v>0</v>
      </c>
      <c r="F228" s="80" t="b">
        <v>0</v>
      </c>
      <c r="G228" s="80" t="b">
        <v>0</v>
      </c>
    </row>
    <row r="229" spans="1:7" ht="15">
      <c r="A229" s="81" t="s">
        <v>2432</v>
      </c>
      <c r="B229" s="80">
        <v>6</v>
      </c>
      <c r="C229" s="104">
        <v>0.0012051908511652954</v>
      </c>
      <c r="D229" s="80" t="s">
        <v>3370</v>
      </c>
      <c r="E229" s="80" t="b">
        <v>0</v>
      </c>
      <c r="F229" s="80" t="b">
        <v>0</v>
      </c>
      <c r="G229" s="80" t="b">
        <v>0</v>
      </c>
    </row>
    <row r="230" spans="1:7" ht="15">
      <c r="A230" s="81" t="s">
        <v>2433</v>
      </c>
      <c r="B230" s="80">
        <v>6</v>
      </c>
      <c r="C230" s="104">
        <v>0.0010789605579354165</v>
      </c>
      <c r="D230" s="80" t="s">
        <v>3370</v>
      </c>
      <c r="E230" s="80" t="b">
        <v>0</v>
      </c>
      <c r="F230" s="80" t="b">
        <v>0</v>
      </c>
      <c r="G230" s="80" t="b">
        <v>0</v>
      </c>
    </row>
    <row r="231" spans="1:7" ht="15">
      <c r="A231" s="81" t="s">
        <v>2434</v>
      </c>
      <c r="B231" s="80">
        <v>6</v>
      </c>
      <c r="C231" s="104">
        <v>0.0008631684463483332</v>
      </c>
      <c r="D231" s="80" t="s">
        <v>3370</v>
      </c>
      <c r="E231" s="80" t="b">
        <v>0</v>
      </c>
      <c r="F231" s="80" t="b">
        <v>0</v>
      </c>
      <c r="G231" s="80" t="b">
        <v>0</v>
      </c>
    </row>
    <row r="232" spans="1:7" ht="15">
      <c r="A232" s="81" t="s">
        <v>2435</v>
      </c>
      <c r="B232" s="80">
        <v>6</v>
      </c>
      <c r="C232" s="104">
        <v>0.0008631684463483332</v>
      </c>
      <c r="D232" s="80" t="s">
        <v>3370</v>
      </c>
      <c r="E232" s="80" t="b">
        <v>1</v>
      </c>
      <c r="F232" s="80" t="b">
        <v>0</v>
      </c>
      <c r="G232" s="80" t="b">
        <v>0</v>
      </c>
    </row>
    <row r="233" spans="1:7" ht="15">
      <c r="A233" s="81" t="s">
        <v>2436</v>
      </c>
      <c r="B233" s="80">
        <v>6</v>
      </c>
      <c r="C233" s="104">
        <v>0.0010789605579354165</v>
      </c>
      <c r="D233" s="80" t="s">
        <v>3370</v>
      </c>
      <c r="E233" s="80" t="b">
        <v>0</v>
      </c>
      <c r="F233" s="80" t="b">
        <v>0</v>
      </c>
      <c r="G233" s="80" t="b">
        <v>0</v>
      </c>
    </row>
    <row r="234" spans="1:7" ht="15">
      <c r="A234" s="81" t="s">
        <v>2437</v>
      </c>
      <c r="B234" s="80">
        <v>6</v>
      </c>
      <c r="C234" s="104">
        <v>0.0010789605579354165</v>
      </c>
      <c r="D234" s="80" t="s">
        <v>3370</v>
      </c>
      <c r="E234" s="80" t="b">
        <v>0</v>
      </c>
      <c r="F234" s="80" t="b">
        <v>0</v>
      </c>
      <c r="G234" s="80" t="b">
        <v>0</v>
      </c>
    </row>
    <row r="235" spans="1:7" ht="15">
      <c r="A235" s="81" t="s">
        <v>2438</v>
      </c>
      <c r="B235" s="80">
        <v>6</v>
      </c>
      <c r="C235" s="104">
        <v>0.000989398739578212</v>
      </c>
      <c r="D235" s="80" t="s">
        <v>3370</v>
      </c>
      <c r="E235" s="80" t="b">
        <v>0</v>
      </c>
      <c r="F235" s="80" t="b">
        <v>0</v>
      </c>
      <c r="G235" s="80" t="b">
        <v>0</v>
      </c>
    </row>
    <row r="236" spans="1:7" ht="15">
      <c r="A236" s="81" t="s">
        <v>2439</v>
      </c>
      <c r="B236" s="80">
        <v>6</v>
      </c>
      <c r="C236" s="104">
        <v>0.000989398739578212</v>
      </c>
      <c r="D236" s="80" t="s">
        <v>3370</v>
      </c>
      <c r="E236" s="80" t="b">
        <v>0</v>
      </c>
      <c r="F236" s="80" t="b">
        <v>0</v>
      </c>
      <c r="G236" s="80" t="b">
        <v>0</v>
      </c>
    </row>
    <row r="237" spans="1:7" ht="15">
      <c r="A237" s="81" t="s">
        <v>2440</v>
      </c>
      <c r="B237" s="80">
        <v>6</v>
      </c>
      <c r="C237" s="104">
        <v>0.0012051908511652954</v>
      </c>
      <c r="D237" s="80" t="s">
        <v>3370</v>
      </c>
      <c r="E237" s="80" t="b">
        <v>0</v>
      </c>
      <c r="F237" s="80" t="b">
        <v>0</v>
      </c>
      <c r="G237" s="80" t="b">
        <v>0</v>
      </c>
    </row>
    <row r="238" spans="1:7" ht="15">
      <c r="A238" s="81" t="s">
        <v>2441</v>
      </c>
      <c r="B238" s="80">
        <v>6</v>
      </c>
      <c r="C238" s="104">
        <v>0.0010789605579354165</v>
      </c>
      <c r="D238" s="80" t="s">
        <v>3370</v>
      </c>
      <c r="E238" s="80" t="b">
        <v>0</v>
      </c>
      <c r="F238" s="80" t="b">
        <v>0</v>
      </c>
      <c r="G238" s="80" t="b">
        <v>0</v>
      </c>
    </row>
    <row r="239" spans="1:7" ht="15">
      <c r="A239" s="81" t="s">
        <v>2442</v>
      </c>
      <c r="B239" s="80">
        <v>6</v>
      </c>
      <c r="C239" s="104">
        <v>0.0008631684463483332</v>
      </c>
      <c r="D239" s="80" t="s">
        <v>3370</v>
      </c>
      <c r="E239" s="80" t="b">
        <v>1</v>
      </c>
      <c r="F239" s="80" t="b">
        <v>0</v>
      </c>
      <c r="G239" s="80" t="b">
        <v>0</v>
      </c>
    </row>
    <row r="240" spans="1:7" ht="15">
      <c r="A240" s="81" t="s">
        <v>2443</v>
      </c>
      <c r="B240" s="80">
        <v>6</v>
      </c>
      <c r="C240" s="104">
        <v>0.0009199291962032614</v>
      </c>
      <c r="D240" s="80" t="s">
        <v>3370</v>
      </c>
      <c r="E240" s="80" t="b">
        <v>0</v>
      </c>
      <c r="F240" s="80" t="b">
        <v>0</v>
      </c>
      <c r="G240" s="80" t="b">
        <v>0</v>
      </c>
    </row>
    <row r="241" spans="1:7" ht="15">
      <c r="A241" s="81" t="s">
        <v>2444</v>
      </c>
      <c r="B241" s="80">
        <v>6</v>
      </c>
      <c r="C241" s="104">
        <v>0.0008631684463483332</v>
      </c>
      <c r="D241" s="80" t="s">
        <v>3370</v>
      </c>
      <c r="E241" s="80" t="b">
        <v>0</v>
      </c>
      <c r="F241" s="80" t="b">
        <v>0</v>
      </c>
      <c r="G241" s="80" t="b">
        <v>0</v>
      </c>
    </row>
    <row r="242" spans="1:7" ht="15">
      <c r="A242" s="81" t="s">
        <v>2445</v>
      </c>
      <c r="B242" s="80">
        <v>6</v>
      </c>
      <c r="C242" s="104">
        <v>0.0010789605579354165</v>
      </c>
      <c r="D242" s="80" t="s">
        <v>3370</v>
      </c>
      <c r="E242" s="80" t="b">
        <v>0</v>
      </c>
      <c r="F242" s="80" t="b">
        <v>0</v>
      </c>
      <c r="G242" s="80" t="b">
        <v>0</v>
      </c>
    </row>
    <row r="243" spans="1:7" ht="15">
      <c r="A243" s="81" t="s">
        <v>2446</v>
      </c>
      <c r="B243" s="80">
        <v>6</v>
      </c>
      <c r="C243" s="104">
        <v>0.0010789605579354165</v>
      </c>
      <c r="D243" s="80" t="s">
        <v>3370</v>
      </c>
      <c r="E243" s="80" t="b">
        <v>0</v>
      </c>
      <c r="F243" s="80" t="b">
        <v>0</v>
      </c>
      <c r="G243" s="80" t="b">
        <v>0</v>
      </c>
    </row>
    <row r="244" spans="1:7" ht="15">
      <c r="A244" s="81" t="s">
        <v>2447</v>
      </c>
      <c r="B244" s="80">
        <v>6</v>
      </c>
      <c r="C244" s="104">
        <v>0.0008631684463483332</v>
      </c>
      <c r="D244" s="80" t="s">
        <v>3370</v>
      </c>
      <c r="E244" s="80" t="b">
        <v>0</v>
      </c>
      <c r="F244" s="80" t="b">
        <v>0</v>
      </c>
      <c r="G244" s="80" t="b">
        <v>0</v>
      </c>
    </row>
    <row r="245" spans="1:7" ht="15">
      <c r="A245" s="81" t="s">
        <v>2448</v>
      </c>
      <c r="B245" s="80">
        <v>6</v>
      </c>
      <c r="C245" s="104">
        <v>0.0012051908511652954</v>
      </c>
      <c r="D245" s="80" t="s">
        <v>3370</v>
      </c>
      <c r="E245" s="80" t="b">
        <v>1</v>
      </c>
      <c r="F245" s="80" t="b">
        <v>0</v>
      </c>
      <c r="G245" s="80" t="b">
        <v>0</v>
      </c>
    </row>
    <row r="246" spans="1:7" ht="15">
      <c r="A246" s="81" t="s">
        <v>2449</v>
      </c>
      <c r="B246" s="80">
        <v>6</v>
      </c>
      <c r="C246" s="104">
        <v>0.0014209829627523788</v>
      </c>
      <c r="D246" s="80" t="s">
        <v>3370</v>
      </c>
      <c r="E246" s="80" t="b">
        <v>0</v>
      </c>
      <c r="F246" s="80" t="b">
        <v>0</v>
      </c>
      <c r="G246" s="80" t="b">
        <v>0</v>
      </c>
    </row>
    <row r="247" spans="1:7" ht="15">
      <c r="A247" s="81" t="s">
        <v>2450</v>
      </c>
      <c r="B247" s="80">
        <v>6</v>
      </c>
      <c r="C247" s="104">
        <v>0.0008631684463483332</v>
      </c>
      <c r="D247" s="80" t="s">
        <v>3370</v>
      </c>
      <c r="E247" s="80" t="b">
        <v>0</v>
      </c>
      <c r="F247" s="80" t="b">
        <v>0</v>
      </c>
      <c r="G247" s="80" t="b">
        <v>0</v>
      </c>
    </row>
    <row r="248" spans="1:7" ht="15">
      <c r="A248" s="81" t="s">
        <v>2451</v>
      </c>
      <c r="B248" s="80">
        <v>6</v>
      </c>
      <c r="C248" s="104">
        <v>0.000989398739578212</v>
      </c>
      <c r="D248" s="80" t="s">
        <v>3370</v>
      </c>
      <c r="E248" s="80" t="b">
        <v>0</v>
      </c>
      <c r="F248" s="80" t="b">
        <v>0</v>
      </c>
      <c r="G248" s="80" t="b">
        <v>0</v>
      </c>
    </row>
    <row r="249" spans="1:7" ht="15">
      <c r="A249" s="81" t="s">
        <v>2452</v>
      </c>
      <c r="B249" s="80">
        <v>6</v>
      </c>
      <c r="C249" s="104">
        <v>0.0008631684463483332</v>
      </c>
      <c r="D249" s="80" t="s">
        <v>3370</v>
      </c>
      <c r="E249" s="80" t="b">
        <v>0</v>
      </c>
      <c r="F249" s="80" t="b">
        <v>0</v>
      </c>
      <c r="G249" s="80" t="b">
        <v>0</v>
      </c>
    </row>
    <row r="250" spans="1:7" ht="15">
      <c r="A250" s="81" t="s">
        <v>2453</v>
      </c>
      <c r="B250" s="80">
        <v>6</v>
      </c>
      <c r="C250" s="104">
        <v>0.0008631684463483332</v>
      </c>
      <c r="D250" s="80" t="s">
        <v>3370</v>
      </c>
      <c r="E250" s="80" t="b">
        <v>0</v>
      </c>
      <c r="F250" s="80" t="b">
        <v>0</v>
      </c>
      <c r="G250" s="80" t="b">
        <v>0</v>
      </c>
    </row>
    <row r="251" spans="1:7" ht="15">
      <c r="A251" s="81" t="s">
        <v>2454</v>
      </c>
      <c r="B251" s="80">
        <v>6</v>
      </c>
      <c r="C251" s="104">
        <v>0.0009199291962032614</v>
      </c>
      <c r="D251" s="80" t="s">
        <v>3370</v>
      </c>
      <c r="E251" s="80" t="b">
        <v>0</v>
      </c>
      <c r="F251" s="80" t="b">
        <v>0</v>
      </c>
      <c r="G251" s="80" t="b">
        <v>0</v>
      </c>
    </row>
    <row r="252" spans="1:7" ht="15">
      <c r="A252" s="81" t="s">
        <v>2455</v>
      </c>
      <c r="B252" s="80">
        <v>6</v>
      </c>
      <c r="C252" s="104">
        <v>0.0008631684463483332</v>
      </c>
      <c r="D252" s="80" t="s">
        <v>3370</v>
      </c>
      <c r="E252" s="80" t="b">
        <v>0</v>
      </c>
      <c r="F252" s="80" t="b">
        <v>0</v>
      </c>
      <c r="G252" s="80" t="b">
        <v>0</v>
      </c>
    </row>
    <row r="253" spans="1:7" ht="15">
      <c r="A253" s="81" t="s">
        <v>2456</v>
      </c>
      <c r="B253" s="80">
        <v>6</v>
      </c>
      <c r="C253" s="104">
        <v>0.0008631684463483332</v>
      </c>
      <c r="D253" s="80" t="s">
        <v>3370</v>
      </c>
      <c r="E253" s="80" t="b">
        <v>0</v>
      </c>
      <c r="F253" s="80" t="b">
        <v>0</v>
      </c>
      <c r="G253" s="80" t="b">
        <v>0</v>
      </c>
    </row>
    <row r="254" spans="1:7" ht="15">
      <c r="A254" s="81" t="s">
        <v>2457</v>
      </c>
      <c r="B254" s="80">
        <v>6</v>
      </c>
      <c r="C254" s="104">
        <v>0.000989398739578212</v>
      </c>
      <c r="D254" s="80" t="s">
        <v>3370</v>
      </c>
      <c r="E254" s="80" t="b">
        <v>0</v>
      </c>
      <c r="F254" s="80" t="b">
        <v>0</v>
      </c>
      <c r="G254" s="80" t="b">
        <v>0</v>
      </c>
    </row>
    <row r="255" spans="1:7" ht="15">
      <c r="A255" s="81" t="s">
        <v>2458</v>
      </c>
      <c r="B255" s="80">
        <v>6</v>
      </c>
      <c r="C255" s="104">
        <v>0.0008631684463483332</v>
      </c>
      <c r="D255" s="80" t="s">
        <v>3370</v>
      </c>
      <c r="E255" s="80" t="b">
        <v>0</v>
      </c>
      <c r="F255" s="80" t="b">
        <v>0</v>
      </c>
      <c r="G255" s="80" t="b">
        <v>0</v>
      </c>
    </row>
    <row r="256" spans="1:7" ht="15">
      <c r="A256" s="81" t="s">
        <v>2459</v>
      </c>
      <c r="B256" s="80">
        <v>6</v>
      </c>
      <c r="C256" s="104">
        <v>0.0009199291962032614</v>
      </c>
      <c r="D256" s="80" t="s">
        <v>3370</v>
      </c>
      <c r="E256" s="80" t="b">
        <v>0</v>
      </c>
      <c r="F256" s="80" t="b">
        <v>0</v>
      </c>
      <c r="G256" s="80" t="b">
        <v>0</v>
      </c>
    </row>
    <row r="257" spans="1:7" ht="15">
      <c r="A257" s="81" t="s">
        <v>2460</v>
      </c>
      <c r="B257" s="80">
        <v>6</v>
      </c>
      <c r="C257" s="104">
        <v>0.0009199291962032614</v>
      </c>
      <c r="D257" s="80" t="s">
        <v>3370</v>
      </c>
      <c r="E257" s="80" t="b">
        <v>0</v>
      </c>
      <c r="F257" s="80" t="b">
        <v>0</v>
      </c>
      <c r="G257" s="80" t="b">
        <v>0</v>
      </c>
    </row>
    <row r="258" spans="1:7" ht="15">
      <c r="A258" s="81" t="s">
        <v>2461</v>
      </c>
      <c r="B258" s="80">
        <v>6</v>
      </c>
      <c r="C258" s="104">
        <v>0.0008631684463483332</v>
      </c>
      <c r="D258" s="80" t="s">
        <v>3370</v>
      </c>
      <c r="E258" s="80" t="b">
        <v>0</v>
      </c>
      <c r="F258" s="80" t="b">
        <v>0</v>
      </c>
      <c r="G258" s="80" t="b">
        <v>0</v>
      </c>
    </row>
    <row r="259" spans="1:7" ht="15">
      <c r="A259" s="81" t="s">
        <v>2462</v>
      </c>
      <c r="B259" s="80">
        <v>6</v>
      </c>
      <c r="C259" s="104">
        <v>0.0009199291962032614</v>
      </c>
      <c r="D259" s="80" t="s">
        <v>3370</v>
      </c>
      <c r="E259" s="80" t="b">
        <v>0</v>
      </c>
      <c r="F259" s="80" t="b">
        <v>0</v>
      </c>
      <c r="G259" s="80" t="b">
        <v>0</v>
      </c>
    </row>
    <row r="260" spans="1:7" ht="15">
      <c r="A260" s="81" t="s">
        <v>2463</v>
      </c>
      <c r="B260" s="80">
        <v>6</v>
      </c>
      <c r="C260" s="104">
        <v>0.0010789605579354165</v>
      </c>
      <c r="D260" s="80" t="s">
        <v>3370</v>
      </c>
      <c r="E260" s="80" t="b">
        <v>0</v>
      </c>
      <c r="F260" s="80" t="b">
        <v>0</v>
      </c>
      <c r="G260" s="80" t="b">
        <v>0</v>
      </c>
    </row>
    <row r="261" spans="1:7" ht="15">
      <c r="A261" s="81" t="s">
        <v>2464</v>
      </c>
      <c r="B261" s="80">
        <v>6</v>
      </c>
      <c r="C261" s="104">
        <v>0.0008631684463483332</v>
      </c>
      <c r="D261" s="80" t="s">
        <v>3370</v>
      </c>
      <c r="E261" s="80" t="b">
        <v>0</v>
      </c>
      <c r="F261" s="80" t="b">
        <v>0</v>
      </c>
      <c r="G261" s="80" t="b">
        <v>0</v>
      </c>
    </row>
    <row r="262" spans="1:7" ht="15">
      <c r="A262" s="81" t="s">
        <v>2465</v>
      </c>
      <c r="B262" s="80">
        <v>6</v>
      </c>
      <c r="C262" s="104">
        <v>0.0014209829627523788</v>
      </c>
      <c r="D262" s="80" t="s">
        <v>3370</v>
      </c>
      <c r="E262" s="80" t="b">
        <v>0</v>
      </c>
      <c r="F262" s="80" t="b">
        <v>0</v>
      </c>
      <c r="G262" s="80" t="b">
        <v>0</v>
      </c>
    </row>
    <row r="263" spans="1:7" ht="15">
      <c r="A263" s="81" t="s">
        <v>2466</v>
      </c>
      <c r="B263" s="80">
        <v>6</v>
      </c>
      <c r="C263" s="104">
        <v>0.0010789605579354165</v>
      </c>
      <c r="D263" s="80" t="s">
        <v>3370</v>
      </c>
      <c r="E263" s="80" t="b">
        <v>0</v>
      </c>
      <c r="F263" s="80" t="b">
        <v>0</v>
      </c>
      <c r="G263" s="80" t="b">
        <v>0</v>
      </c>
    </row>
    <row r="264" spans="1:7" ht="15">
      <c r="A264" s="81" t="s">
        <v>2467</v>
      </c>
      <c r="B264" s="80">
        <v>6</v>
      </c>
      <c r="C264" s="104">
        <v>0.0010789605579354165</v>
      </c>
      <c r="D264" s="80" t="s">
        <v>3370</v>
      </c>
      <c r="E264" s="80" t="b">
        <v>0</v>
      </c>
      <c r="F264" s="80" t="b">
        <v>0</v>
      </c>
      <c r="G264" s="80" t="b">
        <v>0</v>
      </c>
    </row>
    <row r="265" spans="1:7" ht="15">
      <c r="A265" s="81" t="s">
        <v>2468</v>
      </c>
      <c r="B265" s="80">
        <v>6</v>
      </c>
      <c r="C265" s="104">
        <v>0.0008631684463483332</v>
      </c>
      <c r="D265" s="80" t="s">
        <v>3370</v>
      </c>
      <c r="E265" s="80" t="b">
        <v>0</v>
      </c>
      <c r="F265" s="80" t="b">
        <v>0</v>
      </c>
      <c r="G265" s="80" t="b">
        <v>0</v>
      </c>
    </row>
    <row r="266" spans="1:7" ht="15">
      <c r="A266" s="81" t="s">
        <v>2469</v>
      </c>
      <c r="B266" s="80">
        <v>6</v>
      </c>
      <c r="C266" s="104">
        <v>0.0009199291962032614</v>
      </c>
      <c r="D266" s="80" t="s">
        <v>3370</v>
      </c>
      <c r="E266" s="80" t="b">
        <v>0</v>
      </c>
      <c r="F266" s="80" t="b">
        <v>0</v>
      </c>
      <c r="G266" s="80" t="b">
        <v>0</v>
      </c>
    </row>
    <row r="267" spans="1:7" ht="15">
      <c r="A267" s="81" t="s">
        <v>2470</v>
      </c>
      <c r="B267" s="80">
        <v>6</v>
      </c>
      <c r="C267" s="104">
        <v>0.0010789605579354165</v>
      </c>
      <c r="D267" s="80" t="s">
        <v>3370</v>
      </c>
      <c r="E267" s="80" t="b">
        <v>0</v>
      </c>
      <c r="F267" s="80" t="b">
        <v>0</v>
      </c>
      <c r="G267" s="80" t="b">
        <v>0</v>
      </c>
    </row>
    <row r="268" spans="1:7" ht="15">
      <c r="A268" s="81" t="s">
        <v>2471</v>
      </c>
      <c r="B268" s="80">
        <v>6</v>
      </c>
      <c r="C268" s="104">
        <v>0.0008631684463483332</v>
      </c>
      <c r="D268" s="80" t="s">
        <v>3370</v>
      </c>
      <c r="E268" s="80" t="b">
        <v>0</v>
      </c>
      <c r="F268" s="80" t="b">
        <v>0</v>
      </c>
      <c r="G268" s="80" t="b">
        <v>0</v>
      </c>
    </row>
    <row r="269" spans="1:7" ht="15">
      <c r="A269" s="81" t="s">
        <v>2472</v>
      </c>
      <c r="B269" s="80">
        <v>6</v>
      </c>
      <c r="C269" s="104">
        <v>0.0008631684463483332</v>
      </c>
      <c r="D269" s="80" t="s">
        <v>3370</v>
      </c>
      <c r="E269" s="80" t="b">
        <v>0</v>
      </c>
      <c r="F269" s="80" t="b">
        <v>0</v>
      </c>
      <c r="G269" s="80" t="b">
        <v>0</v>
      </c>
    </row>
    <row r="270" spans="1:7" ht="15">
      <c r="A270" s="81" t="s">
        <v>2473</v>
      </c>
      <c r="B270" s="80">
        <v>6</v>
      </c>
      <c r="C270" s="104">
        <v>0.0008631684463483332</v>
      </c>
      <c r="D270" s="80" t="s">
        <v>3370</v>
      </c>
      <c r="E270" s="80" t="b">
        <v>0</v>
      </c>
      <c r="F270" s="80" t="b">
        <v>0</v>
      </c>
      <c r="G270" s="80" t="b">
        <v>0</v>
      </c>
    </row>
    <row r="271" spans="1:7" ht="15">
      <c r="A271" s="81" t="s">
        <v>2474</v>
      </c>
      <c r="B271" s="80">
        <v>6</v>
      </c>
      <c r="C271" s="104">
        <v>0.000989398739578212</v>
      </c>
      <c r="D271" s="80" t="s">
        <v>3370</v>
      </c>
      <c r="E271" s="80" t="b">
        <v>0</v>
      </c>
      <c r="F271" s="80" t="b">
        <v>0</v>
      </c>
      <c r="G271" s="80" t="b">
        <v>0</v>
      </c>
    </row>
    <row r="272" spans="1:7" ht="15">
      <c r="A272" s="81" t="s">
        <v>2475</v>
      </c>
      <c r="B272" s="80">
        <v>6</v>
      </c>
      <c r="C272" s="104">
        <v>0.000989398739578212</v>
      </c>
      <c r="D272" s="80" t="s">
        <v>3370</v>
      </c>
      <c r="E272" s="80" t="b">
        <v>0</v>
      </c>
      <c r="F272" s="80" t="b">
        <v>0</v>
      </c>
      <c r="G272" s="80" t="b">
        <v>0</v>
      </c>
    </row>
    <row r="273" spans="1:7" ht="15">
      <c r="A273" s="81" t="s">
        <v>2476</v>
      </c>
      <c r="B273" s="80">
        <v>6</v>
      </c>
      <c r="C273" s="104">
        <v>0.0008631684463483332</v>
      </c>
      <c r="D273" s="80" t="s">
        <v>3370</v>
      </c>
      <c r="E273" s="80" t="b">
        <v>0</v>
      </c>
      <c r="F273" s="80" t="b">
        <v>0</v>
      </c>
      <c r="G273" s="80" t="b">
        <v>0</v>
      </c>
    </row>
    <row r="274" spans="1:7" ht="15">
      <c r="A274" s="81" t="s">
        <v>2477</v>
      </c>
      <c r="B274" s="80">
        <v>6</v>
      </c>
      <c r="C274" s="104">
        <v>0.0008631684463483332</v>
      </c>
      <c r="D274" s="80" t="s">
        <v>3370</v>
      </c>
      <c r="E274" s="80" t="b">
        <v>0</v>
      </c>
      <c r="F274" s="80" t="b">
        <v>0</v>
      </c>
      <c r="G274" s="80" t="b">
        <v>0</v>
      </c>
    </row>
    <row r="275" spans="1:7" ht="15">
      <c r="A275" s="81" t="s">
        <v>2478</v>
      </c>
      <c r="B275" s="80">
        <v>6</v>
      </c>
      <c r="C275" s="104">
        <v>0.0008631684463483332</v>
      </c>
      <c r="D275" s="80" t="s">
        <v>3370</v>
      </c>
      <c r="E275" s="80" t="b">
        <v>0</v>
      </c>
      <c r="F275" s="80" t="b">
        <v>0</v>
      </c>
      <c r="G275" s="80" t="b">
        <v>0</v>
      </c>
    </row>
    <row r="276" spans="1:7" ht="15">
      <c r="A276" s="81" t="s">
        <v>2479</v>
      </c>
      <c r="B276" s="80">
        <v>6</v>
      </c>
      <c r="C276" s="104">
        <v>0.0012051908511652954</v>
      </c>
      <c r="D276" s="80" t="s">
        <v>3370</v>
      </c>
      <c r="E276" s="80" t="b">
        <v>0</v>
      </c>
      <c r="F276" s="80" t="b">
        <v>0</v>
      </c>
      <c r="G276" s="80" t="b">
        <v>0</v>
      </c>
    </row>
    <row r="277" spans="1:7" ht="15">
      <c r="A277" s="81" t="s">
        <v>2480</v>
      </c>
      <c r="B277" s="80">
        <v>6</v>
      </c>
      <c r="C277" s="104">
        <v>0.0009199291962032614</v>
      </c>
      <c r="D277" s="80" t="s">
        <v>3370</v>
      </c>
      <c r="E277" s="80" t="b">
        <v>0</v>
      </c>
      <c r="F277" s="80" t="b">
        <v>0</v>
      </c>
      <c r="G277" s="80" t="b">
        <v>0</v>
      </c>
    </row>
    <row r="278" spans="1:7" ht="15">
      <c r="A278" s="81" t="s">
        <v>2481</v>
      </c>
      <c r="B278" s="80">
        <v>6</v>
      </c>
      <c r="C278" s="104">
        <v>0.0009199291962032614</v>
      </c>
      <c r="D278" s="80" t="s">
        <v>3370</v>
      </c>
      <c r="E278" s="80" t="b">
        <v>0</v>
      </c>
      <c r="F278" s="80" t="b">
        <v>0</v>
      </c>
      <c r="G278" s="80" t="b">
        <v>0</v>
      </c>
    </row>
    <row r="279" spans="1:7" ht="15">
      <c r="A279" s="81" t="s">
        <v>2482</v>
      </c>
      <c r="B279" s="80">
        <v>6</v>
      </c>
      <c r="C279" s="104">
        <v>0.000989398739578212</v>
      </c>
      <c r="D279" s="80" t="s">
        <v>3370</v>
      </c>
      <c r="E279" s="80" t="b">
        <v>0</v>
      </c>
      <c r="F279" s="80" t="b">
        <v>0</v>
      </c>
      <c r="G279" s="80" t="b">
        <v>0</v>
      </c>
    </row>
    <row r="280" spans="1:7" ht="15">
      <c r="A280" s="81" t="s">
        <v>2483</v>
      </c>
      <c r="B280" s="80">
        <v>6</v>
      </c>
      <c r="C280" s="104">
        <v>0.0008631684463483332</v>
      </c>
      <c r="D280" s="80" t="s">
        <v>3370</v>
      </c>
      <c r="E280" s="80" t="b">
        <v>0</v>
      </c>
      <c r="F280" s="80" t="b">
        <v>0</v>
      </c>
      <c r="G280" s="80" t="b">
        <v>0</v>
      </c>
    </row>
    <row r="281" spans="1:7" ht="15">
      <c r="A281" s="81" t="s">
        <v>2484</v>
      </c>
      <c r="B281" s="80">
        <v>6</v>
      </c>
      <c r="C281" s="104">
        <v>0.0008631684463483332</v>
      </c>
      <c r="D281" s="80" t="s">
        <v>3370</v>
      </c>
      <c r="E281" s="80" t="b">
        <v>0</v>
      </c>
      <c r="F281" s="80" t="b">
        <v>0</v>
      </c>
      <c r="G281" s="80" t="b">
        <v>0</v>
      </c>
    </row>
    <row r="282" spans="1:7" ht="15">
      <c r="A282" s="81" t="s">
        <v>2485</v>
      </c>
      <c r="B282" s="80">
        <v>6</v>
      </c>
      <c r="C282" s="104">
        <v>0.0008631684463483332</v>
      </c>
      <c r="D282" s="80" t="s">
        <v>3370</v>
      </c>
      <c r="E282" s="80" t="b">
        <v>0</v>
      </c>
      <c r="F282" s="80" t="b">
        <v>0</v>
      </c>
      <c r="G282" s="80" t="b">
        <v>0</v>
      </c>
    </row>
    <row r="283" spans="1:7" ht="15">
      <c r="A283" s="81" t="s">
        <v>2486</v>
      </c>
      <c r="B283" s="80">
        <v>6</v>
      </c>
      <c r="C283" s="104">
        <v>0.0008631684463483332</v>
      </c>
      <c r="D283" s="80" t="s">
        <v>3370</v>
      </c>
      <c r="E283" s="80" t="b">
        <v>0</v>
      </c>
      <c r="F283" s="80" t="b">
        <v>0</v>
      </c>
      <c r="G283" s="80" t="b">
        <v>0</v>
      </c>
    </row>
    <row r="284" spans="1:7" ht="15">
      <c r="A284" s="81" t="s">
        <v>2487</v>
      </c>
      <c r="B284" s="80">
        <v>5</v>
      </c>
      <c r="C284" s="104">
        <v>0.0011841524689603156</v>
      </c>
      <c r="D284" s="80" t="s">
        <v>3370</v>
      </c>
      <c r="E284" s="80" t="b">
        <v>0</v>
      </c>
      <c r="F284" s="80" t="b">
        <v>0</v>
      </c>
      <c r="G284" s="80" t="b">
        <v>0</v>
      </c>
    </row>
    <row r="285" spans="1:7" ht="15">
      <c r="A285" s="81" t="s">
        <v>2488</v>
      </c>
      <c r="B285" s="80">
        <v>5</v>
      </c>
      <c r="C285" s="104">
        <v>0.0007666076635027178</v>
      </c>
      <c r="D285" s="80" t="s">
        <v>3370</v>
      </c>
      <c r="E285" s="80" t="b">
        <v>0</v>
      </c>
      <c r="F285" s="80" t="b">
        <v>0</v>
      </c>
      <c r="G285" s="80" t="b">
        <v>0</v>
      </c>
    </row>
    <row r="286" spans="1:7" ht="15">
      <c r="A286" s="81" t="s">
        <v>2489</v>
      </c>
      <c r="B286" s="80">
        <v>5</v>
      </c>
      <c r="C286" s="104">
        <v>0.0007666076635027178</v>
      </c>
      <c r="D286" s="80" t="s">
        <v>3370</v>
      </c>
      <c r="E286" s="80" t="b">
        <v>0</v>
      </c>
      <c r="F286" s="80" t="b">
        <v>0</v>
      </c>
      <c r="G286" s="80" t="b">
        <v>0</v>
      </c>
    </row>
    <row r="287" spans="1:7" ht="15">
      <c r="A287" s="81" t="s">
        <v>2490</v>
      </c>
      <c r="B287" s="80">
        <v>5</v>
      </c>
      <c r="C287" s="104">
        <v>0.00082449894964851</v>
      </c>
      <c r="D287" s="80" t="s">
        <v>3370</v>
      </c>
      <c r="E287" s="80" t="b">
        <v>0</v>
      </c>
      <c r="F287" s="80" t="b">
        <v>0</v>
      </c>
      <c r="G287" s="80" t="b">
        <v>0</v>
      </c>
    </row>
    <row r="288" spans="1:7" ht="15">
      <c r="A288" s="81" t="s">
        <v>2491</v>
      </c>
      <c r="B288" s="80">
        <v>5</v>
      </c>
      <c r="C288" s="104">
        <v>0.00082449894964851</v>
      </c>
      <c r="D288" s="80" t="s">
        <v>3370</v>
      </c>
      <c r="E288" s="80" t="b">
        <v>0</v>
      </c>
      <c r="F288" s="80" t="b">
        <v>0</v>
      </c>
      <c r="G288" s="80" t="b">
        <v>0</v>
      </c>
    </row>
    <row r="289" spans="1:7" ht="15">
      <c r="A289" s="81" t="s">
        <v>2492</v>
      </c>
      <c r="B289" s="80">
        <v>5</v>
      </c>
      <c r="C289" s="104">
        <v>0.0007666076635027178</v>
      </c>
      <c r="D289" s="80" t="s">
        <v>3370</v>
      </c>
      <c r="E289" s="80" t="b">
        <v>0</v>
      </c>
      <c r="F289" s="80" t="b">
        <v>0</v>
      </c>
      <c r="G289" s="80" t="b">
        <v>0</v>
      </c>
    </row>
    <row r="290" spans="1:7" ht="15">
      <c r="A290" s="81" t="s">
        <v>2493</v>
      </c>
      <c r="B290" s="80">
        <v>5</v>
      </c>
      <c r="C290" s="104">
        <v>0.0008991337982795137</v>
      </c>
      <c r="D290" s="80" t="s">
        <v>3370</v>
      </c>
      <c r="E290" s="80" t="b">
        <v>0</v>
      </c>
      <c r="F290" s="80" t="b">
        <v>0</v>
      </c>
      <c r="G290" s="80" t="b">
        <v>0</v>
      </c>
    </row>
    <row r="291" spans="1:7" ht="15">
      <c r="A291" s="81" t="s">
        <v>2494</v>
      </c>
      <c r="B291" s="80">
        <v>5</v>
      </c>
      <c r="C291" s="104">
        <v>0.0007666076635027178</v>
      </c>
      <c r="D291" s="80" t="s">
        <v>3370</v>
      </c>
      <c r="E291" s="80" t="b">
        <v>0</v>
      </c>
      <c r="F291" s="80" t="b">
        <v>0</v>
      </c>
      <c r="G291" s="80" t="b">
        <v>0</v>
      </c>
    </row>
    <row r="292" spans="1:7" ht="15">
      <c r="A292" s="81" t="s">
        <v>2495</v>
      </c>
      <c r="B292" s="80">
        <v>5</v>
      </c>
      <c r="C292" s="104">
        <v>0.0010043257093044129</v>
      </c>
      <c r="D292" s="80" t="s">
        <v>3370</v>
      </c>
      <c r="E292" s="80" t="b">
        <v>0</v>
      </c>
      <c r="F292" s="80" t="b">
        <v>0</v>
      </c>
      <c r="G292" s="80" t="b">
        <v>0</v>
      </c>
    </row>
    <row r="293" spans="1:7" ht="15">
      <c r="A293" s="81" t="s">
        <v>2496</v>
      </c>
      <c r="B293" s="80">
        <v>5</v>
      </c>
      <c r="C293" s="104">
        <v>0.0007666076635027178</v>
      </c>
      <c r="D293" s="80" t="s">
        <v>3370</v>
      </c>
      <c r="E293" s="80" t="b">
        <v>0</v>
      </c>
      <c r="F293" s="80" t="b">
        <v>0</v>
      </c>
      <c r="G293" s="80" t="b">
        <v>0</v>
      </c>
    </row>
    <row r="294" spans="1:7" ht="15">
      <c r="A294" s="81" t="s">
        <v>2497</v>
      </c>
      <c r="B294" s="80">
        <v>5</v>
      </c>
      <c r="C294" s="104">
        <v>0.0007666076635027178</v>
      </c>
      <c r="D294" s="80" t="s">
        <v>3370</v>
      </c>
      <c r="E294" s="80" t="b">
        <v>0</v>
      </c>
      <c r="F294" s="80" t="b">
        <v>0</v>
      </c>
      <c r="G294" s="80" t="b">
        <v>0</v>
      </c>
    </row>
    <row r="295" spans="1:7" ht="15">
      <c r="A295" s="81" t="s">
        <v>2498</v>
      </c>
      <c r="B295" s="80">
        <v>5</v>
      </c>
      <c r="C295" s="104">
        <v>0.0008991337982795137</v>
      </c>
      <c r="D295" s="80" t="s">
        <v>3370</v>
      </c>
      <c r="E295" s="80" t="b">
        <v>0</v>
      </c>
      <c r="F295" s="80" t="b">
        <v>0</v>
      </c>
      <c r="G295" s="80" t="b">
        <v>0</v>
      </c>
    </row>
    <row r="296" spans="1:7" ht="15">
      <c r="A296" s="81" t="s">
        <v>2499</v>
      </c>
      <c r="B296" s="80">
        <v>5</v>
      </c>
      <c r="C296" s="104">
        <v>0.0007666076635027178</v>
      </c>
      <c r="D296" s="80" t="s">
        <v>3370</v>
      </c>
      <c r="E296" s="80" t="b">
        <v>0</v>
      </c>
      <c r="F296" s="80" t="b">
        <v>0</v>
      </c>
      <c r="G296" s="80" t="b">
        <v>0</v>
      </c>
    </row>
    <row r="297" spans="1:7" ht="15">
      <c r="A297" s="81" t="s">
        <v>2500</v>
      </c>
      <c r="B297" s="80">
        <v>5</v>
      </c>
      <c r="C297" s="104">
        <v>0.0007666076635027178</v>
      </c>
      <c r="D297" s="80" t="s">
        <v>3370</v>
      </c>
      <c r="E297" s="80" t="b">
        <v>0</v>
      </c>
      <c r="F297" s="80" t="b">
        <v>0</v>
      </c>
      <c r="G297" s="80" t="b">
        <v>0</v>
      </c>
    </row>
    <row r="298" spans="1:7" ht="15">
      <c r="A298" s="81" t="s">
        <v>2501</v>
      </c>
      <c r="B298" s="80">
        <v>5</v>
      </c>
      <c r="C298" s="104">
        <v>0.0007666076635027178</v>
      </c>
      <c r="D298" s="80" t="s">
        <v>3370</v>
      </c>
      <c r="E298" s="80" t="b">
        <v>0</v>
      </c>
      <c r="F298" s="80" t="b">
        <v>0</v>
      </c>
      <c r="G298" s="80" t="b">
        <v>0</v>
      </c>
    </row>
    <row r="299" spans="1:7" ht="15">
      <c r="A299" s="81" t="s">
        <v>2502</v>
      </c>
      <c r="B299" s="80">
        <v>5</v>
      </c>
      <c r="C299" s="104">
        <v>0.0007666076635027178</v>
      </c>
      <c r="D299" s="80" t="s">
        <v>3370</v>
      </c>
      <c r="E299" s="80" t="b">
        <v>0</v>
      </c>
      <c r="F299" s="80" t="b">
        <v>0</v>
      </c>
      <c r="G299" s="80" t="b">
        <v>0</v>
      </c>
    </row>
    <row r="300" spans="1:7" ht="15">
      <c r="A300" s="81" t="s">
        <v>2503</v>
      </c>
      <c r="B300" s="80">
        <v>5</v>
      </c>
      <c r="C300" s="104">
        <v>0.0011841524689603156</v>
      </c>
      <c r="D300" s="80" t="s">
        <v>3370</v>
      </c>
      <c r="E300" s="80" t="b">
        <v>0</v>
      </c>
      <c r="F300" s="80" t="b">
        <v>0</v>
      </c>
      <c r="G300" s="80" t="b">
        <v>0</v>
      </c>
    </row>
    <row r="301" spans="1:7" ht="15">
      <c r="A301" s="81" t="s">
        <v>2504</v>
      </c>
      <c r="B301" s="80">
        <v>5</v>
      </c>
      <c r="C301" s="104">
        <v>0.0008991337982795137</v>
      </c>
      <c r="D301" s="80" t="s">
        <v>3370</v>
      </c>
      <c r="E301" s="80" t="b">
        <v>0</v>
      </c>
      <c r="F301" s="80" t="b">
        <v>1</v>
      </c>
      <c r="G301" s="80" t="b">
        <v>0</v>
      </c>
    </row>
    <row r="302" spans="1:7" ht="15">
      <c r="A302" s="81" t="s">
        <v>2505</v>
      </c>
      <c r="B302" s="80">
        <v>5</v>
      </c>
      <c r="C302" s="104">
        <v>0.0008991337982795137</v>
      </c>
      <c r="D302" s="80" t="s">
        <v>3370</v>
      </c>
      <c r="E302" s="80" t="b">
        <v>0</v>
      </c>
      <c r="F302" s="80" t="b">
        <v>0</v>
      </c>
      <c r="G302" s="80" t="b">
        <v>0</v>
      </c>
    </row>
    <row r="303" spans="1:7" ht="15">
      <c r="A303" s="81" t="s">
        <v>2506</v>
      </c>
      <c r="B303" s="80">
        <v>5</v>
      </c>
      <c r="C303" s="104">
        <v>0.0007666076635027178</v>
      </c>
      <c r="D303" s="80" t="s">
        <v>3370</v>
      </c>
      <c r="E303" s="80" t="b">
        <v>0</v>
      </c>
      <c r="F303" s="80" t="b">
        <v>0</v>
      </c>
      <c r="G303" s="80" t="b">
        <v>0</v>
      </c>
    </row>
    <row r="304" spans="1:7" ht="15">
      <c r="A304" s="81" t="s">
        <v>2507</v>
      </c>
      <c r="B304" s="80">
        <v>5</v>
      </c>
      <c r="C304" s="104">
        <v>0.0007666076635027178</v>
      </c>
      <c r="D304" s="80" t="s">
        <v>3370</v>
      </c>
      <c r="E304" s="80" t="b">
        <v>0</v>
      </c>
      <c r="F304" s="80" t="b">
        <v>0</v>
      </c>
      <c r="G304" s="80" t="b">
        <v>0</v>
      </c>
    </row>
    <row r="305" spans="1:7" ht="15">
      <c r="A305" s="81" t="s">
        <v>2508</v>
      </c>
      <c r="B305" s="80">
        <v>5</v>
      </c>
      <c r="C305" s="104">
        <v>0.0007666076635027178</v>
      </c>
      <c r="D305" s="80" t="s">
        <v>3370</v>
      </c>
      <c r="E305" s="80" t="b">
        <v>0</v>
      </c>
      <c r="F305" s="80" t="b">
        <v>0</v>
      </c>
      <c r="G305" s="80" t="b">
        <v>0</v>
      </c>
    </row>
    <row r="306" spans="1:7" ht="15">
      <c r="A306" s="81" t="s">
        <v>2509</v>
      </c>
      <c r="B306" s="80">
        <v>5</v>
      </c>
      <c r="C306" s="104">
        <v>0.0007666076635027178</v>
      </c>
      <c r="D306" s="80" t="s">
        <v>3370</v>
      </c>
      <c r="E306" s="80" t="b">
        <v>0</v>
      </c>
      <c r="F306" s="80" t="b">
        <v>0</v>
      </c>
      <c r="G306" s="80" t="b">
        <v>0</v>
      </c>
    </row>
    <row r="307" spans="1:7" ht="15">
      <c r="A307" s="81" t="s">
        <v>2510</v>
      </c>
      <c r="B307" s="80">
        <v>5</v>
      </c>
      <c r="C307" s="104">
        <v>0.0007666076635027178</v>
      </c>
      <c r="D307" s="80" t="s">
        <v>3370</v>
      </c>
      <c r="E307" s="80" t="b">
        <v>0</v>
      </c>
      <c r="F307" s="80" t="b">
        <v>0</v>
      </c>
      <c r="G307" s="80" t="b">
        <v>0</v>
      </c>
    </row>
    <row r="308" spans="1:7" ht="15">
      <c r="A308" s="81" t="s">
        <v>2511</v>
      </c>
      <c r="B308" s="80">
        <v>5</v>
      </c>
      <c r="C308" s="104">
        <v>0.00082449894964851</v>
      </c>
      <c r="D308" s="80" t="s">
        <v>3370</v>
      </c>
      <c r="E308" s="80" t="b">
        <v>0</v>
      </c>
      <c r="F308" s="80" t="b">
        <v>0</v>
      </c>
      <c r="G308" s="80" t="b">
        <v>0</v>
      </c>
    </row>
    <row r="309" spans="1:7" ht="15">
      <c r="A309" s="81" t="s">
        <v>2512</v>
      </c>
      <c r="B309" s="80">
        <v>5</v>
      </c>
      <c r="C309" s="104">
        <v>0.0010043257093044129</v>
      </c>
      <c r="D309" s="80" t="s">
        <v>3370</v>
      </c>
      <c r="E309" s="80" t="b">
        <v>0</v>
      </c>
      <c r="F309" s="80" t="b">
        <v>0</v>
      </c>
      <c r="G309" s="80" t="b">
        <v>0</v>
      </c>
    </row>
    <row r="310" spans="1:7" ht="15">
      <c r="A310" s="81" t="s">
        <v>2513</v>
      </c>
      <c r="B310" s="80">
        <v>5</v>
      </c>
      <c r="C310" s="104">
        <v>0.0007666076635027178</v>
      </c>
      <c r="D310" s="80" t="s">
        <v>3370</v>
      </c>
      <c r="E310" s="80" t="b">
        <v>0</v>
      </c>
      <c r="F310" s="80" t="b">
        <v>0</v>
      </c>
      <c r="G310" s="80" t="b">
        <v>0</v>
      </c>
    </row>
    <row r="311" spans="1:7" ht="15">
      <c r="A311" s="81" t="s">
        <v>2514</v>
      </c>
      <c r="B311" s="80">
        <v>5</v>
      </c>
      <c r="C311" s="104">
        <v>0.0007666076635027178</v>
      </c>
      <c r="D311" s="80" t="s">
        <v>3370</v>
      </c>
      <c r="E311" s="80" t="b">
        <v>0</v>
      </c>
      <c r="F311" s="80" t="b">
        <v>0</v>
      </c>
      <c r="G311" s="80" t="b">
        <v>0</v>
      </c>
    </row>
    <row r="312" spans="1:7" ht="15">
      <c r="A312" s="81" t="s">
        <v>2515</v>
      </c>
      <c r="B312" s="80">
        <v>5</v>
      </c>
      <c r="C312" s="104">
        <v>0.00082449894964851</v>
      </c>
      <c r="D312" s="80" t="s">
        <v>3370</v>
      </c>
      <c r="E312" s="80" t="b">
        <v>0</v>
      </c>
      <c r="F312" s="80" t="b">
        <v>0</v>
      </c>
      <c r="G312" s="80" t="b">
        <v>0</v>
      </c>
    </row>
    <row r="313" spans="1:7" ht="15">
      <c r="A313" s="81" t="s">
        <v>2516</v>
      </c>
      <c r="B313" s="80">
        <v>5</v>
      </c>
      <c r="C313" s="104">
        <v>0.0010043257093044129</v>
      </c>
      <c r="D313" s="80" t="s">
        <v>3370</v>
      </c>
      <c r="E313" s="80" t="b">
        <v>0</v>
      </c>
      <c r="F313" s="80" t="b">
        <v>0</v>
      </c>
      <c r="G313" s="80" t="b">
        <v>0</v>
      </c>
    </row>
    <row r="314" spans="1:7" ht="15">
      <c r="A314" s="81" t="s">
        <v>2517</v>
      </c>
      <c r="B314" s="80">
        <v>5</v>
      </c>
      <c r="C314" s="104">
        <v>0.0007666076635027178</v>
      </c>
      <c r="D314" s="80" t="s">
        <v>3370</v>
      </c>
      <c r="E314" s="80" t="b">
        <v>0</v>
      </c>
      <c r="F314" s="80" t="b">
        <v>0</v>
      </c>
      <c r="G314" s="80" t="b">
        <v>0</v>
      </c>
    </row>
    <row r="315" spans="1:7" ht="15">
      <c r="A315" s="81" t="s">
        <v>2518</v>
      </c>
      <c r="B315" s="80">
        <v>5</v>
      </c>
      <c r="C315" s="104">
        <v>0.0007666076635027178</v>
      </c>
      <c r="D315" s="80" t="s">
        <v>3370</v>
      </c>
      <c r="E315" s="80" t="b">
        <v>0</v>
      </c>
      <c r="F315" s="80" t="b">
        <v>0</v>
      </c>
      <c r="G315" s="80" t="b">
        <v>0</v>
      </c>
    </row>
    <row r="316" spans="1:7" ht="15">
      <c r="A316" s="81" t="s">
        <v>2519</v>
      </c>
      <c r="B316" s="80">
        <v>5</v>
      </c>
      <c r="C316" s="104">
        <v>0.00082449894964851</v>
      </c>
      <c r="D316" s="80" t="s">
        <v>3370</v>
      </c>
      <c r="E316" s="80" t="b">
        <v>0</v>
      </c>
      <c r="F316" s="80" t="b">
        <v>0</v>
      </c>
      <c r="G316" s="80" t="b">
        <v>0</v>
      </c>
    </row>
    <row r="317" spans="1:7" ht="15">
      <c r="A317" s="81" t="s">
        <v>2520</v>
      </c>
      <c r="B317" s="80">
        <v>5</v>
      </c>
      <c r="C317" s="104">
        <v>0.0007666076635027178</v>
      </c>
      <c r="D317" s="80" t="s">
        <v>3370</v>
      </c>
      <c r="E317" s="80" t="b">
        <v>0</v>
      </c>
      <c r="F317" s="80" t="b">
        <v>0</v>
      </c>
      <c r="G317" s="80" t="b">
        <v>0</v>
      </c>
    </row>
    <row r="318" spans="1:7" ht="15">
      <c r="A318" s="81" t="s">
        <v>2521</v>
      </c>
      <c r="B318" s="80">
        <v>5</v>
      </c>
      <c r="C318" s="104">
        <v>0.00082449894964851</v>
      </c>
      <c r="D318" s="80" t="s">
        <v>3370</v>
      </c>
      <c r="E318" s="80" t="b">
        <v>0</v>
      </c>
      <c r="F318" s="80" t="b">
        <v>0</v>
      </c>
      <c r="G318" s="80" t="b">
        <v>0</v>
      </c>
    </row>
    <row r="319" spans="1:7" ht="15">
      <c r="A319" s="81" t="s">
        <v>2522</v>
      </c>
      <c r="B319" s="80">
        <v>5</v>
      </c>
      <c r="C319" s="104">
        <v>0.0007666076635027178</v>
      </c>
      <c r="D319" s="80" t="s">
        <v>3370</v>
      </c>
      <c r="E319" s="80" t="b">
        <v>0</v>
      </c>
      <c r="F319" s="80" t="b">
        <v>0</v>
      </c>
      <c r="G319" s="80" t="b">
        <v>0</v>
      </c>
    </row>
    <row r="320" spans="1:7" ht="15">
      <c r="A320" s="81" t="s">
        <v>2523</v>
      </c>
      <c r="B320" s="80">
        <v>5</v>
      </c>
      <c r="C320" s="104">
        <v>0.0007666076635027178</v>
      </c>
      <c r="D320" s="80" t="s">
        <v>3370</v>
      </c>
      <c r="E320" s="80" t="b">
        <v>0</v>
      </c>
      <c r="F320" s="80" t="b">
        <v>0</v>
      </c>
      <c r="G320" s="80" t="b">
        <v>0</v>
      </c>
    </row>
    <row r="321" spans="1:7" ht="15">
      <c r="A321" s="81" t="s">
        <v>2524</v>
      </c>
      <c r="B321" s="80">
        <v>5</v>
      </c>
      <c r="C321" s="104">
        <v>0.0007666076635027178</v>
      </c>
      <c r="D321" s="80" t="s">
        <v>3370</v>
      </c>
      <c r="E321" s="80" t="b">
        <v>0</v>
      </c>
      <c r="F321" s="80" t="b">
        <v>0</v>
      </c>
      <c r="G321" s="80" t="b">
        <v>0</v>
      </c>
    </row>
    <row r="322" spans="1:7" ht="15">
      <c r="A322" s="81" t="s">
        <v>2525</v>
      </c>
      <c r="B322" s="80">
        <v>5</v>
      </c>
      <c r="C322" s="104">
        <v>0.0008991337982795137</v>
      </c>
      <c r="D322" s="80" t="s">
        <v>3370</v>
      </c>
      <c r="E322" s="80" t="b">
        <v>0</v>
      </c>
      <c r="F322" s="80" t="b">
        <v>0</v>
      </c>
      <c r="G322" s="80" t="b">
        <v>0</v>
      </c>
    </row>
    <row r="323" spans="1:7" ht="15">
      <c r="A323" s="81" t="s">
        <v>2526</v>
      </c>
      <c r="B323" s="80">
        <v>5</v>
      </c>
      <c r="C323" s="104">
        <v>0.0007666076635027178</v>
      </c>
      <c r="D323" s="80" t="s">
        <v>3370</v>
      </c>
      <c r="E323" s="80" t="b">
        <v>0</v>
      </c>
      <c r="F323" s="80" t="b">
        <v>0</v>
      </c>
      <c r="G323" s="80" t="b">
        <v>0</v>
      </c>
    </row>
    <row r="324" spans="1:7" ht="15">
      <c r="A324" s="81" t="s">
        <v>2527</v>
      </c>
      <c r="B324" s="80">
        <v>5</v>
      </c>
      <c r="C324" s="104">
        <v>0.0007666076635027178</v>
      </c>
      <c r="D324" s="80" t="s">
        <v>3370</v>
      </c>
      <c r="E324" s="80" t="b">
        <v>0</v>
      </c>
      <c r="F324" s="80" t="b">
        <v>0</v>
      </c>
      <c r="G324" s="80" t="b">
        <v>0</v>
      </c>
    </row>
    <row r="325" spans="1:7" ht="15">
      <c r="A325" s="81" t="s">
        <v>2528</v>
      </c>
      <c r="B325" s="80">
        <v>5</v>
      </c>
      <c r="C325" s="104">
        <v>0.00082449894964851</v>
      </c>
      <c r="D325" s="80" t="s">
        <v>3370</v>
      </c>
      <c r="E325" s="80" t="b">
        <v>0</v>
      </c>
      <c r="F325" s="80" t="b">
        <v>0</v>
      </c>
      <c r="G325" s="80" t="b">
        <v>0</v>
      </c>
    </row>
    <row r="326" spans="1:7" ht="15">
      <c r="A326" s="81" t="s">
        <v>2529</v>
      </c>
      <c r="B326" s="80">
        <v>5</v>
      </c>
      <c r="C326" s="104">
        <v>0.0007666076635027178</v>
      </c>
      <c r="D326" s="80" t="s">
        <v>3370</v>
      </c>
      <c r="E326" s="80" t="b">
        <v>0</v>
      </c>
      <c r="F326" s="80" t="b">
        <v>0</v>
      </c>
      <c r="G326" s="80" t="b">
        <v>0</v>
      </c>
    </row>
    <row r="327" spans="1:7" ht="15">
      <c r="A327" s="81" t="s">
        <v>2530</v>
      </c>
      <c r="B327" s="80">
        <v>5</v>
      </c>
      <c r="C327" s="104">
        <v>0.0007666076635027178</v>
      </c>
      <c r="D327" s="80" t="s">
        <v>3370</v>
      </c>
      <c r="E327" s="80" t="b">
        <v>0</v>
      </c>
      <c r="F327" s="80" t="b">
        <v>0</v>
      </c>
      <c r="G327" s="80" t="b">
        <v>0</v>
      </c>
    </row>
    <row r="328" spans="1:7" ht="15">
      <c r="A328" s="81" t="s">
        <v>2531</v>
      </c>
      <c r="B328" s="80">
        <v>5</v>
      </c>
      <c r="C328" s="104">
        <v>0.0007666076635027178</v>
      </c>
      <c r="D328" s="80" t="s">
        <v>3370</v>
      </c>
      <c r="E328" s="80" t="b">
        <v>0</v>
      </c>
      <c r="F328" s="80" t="b">
        <v>0</v>
      </c>
      <c r="G328" s="80" t="b">
        <v>0</v>
      </c>
    </row>
    <row r="329" spans="1:7" ht="15">
      <c r="A329" s="81" t="s">
        <v>2532</v>
      </c>
      <c r="B329" s="80">
        <v>5</v>
      </c>
      <c r="C329" s="104">
        <v>0.0007666076635027178</v>
      </c>
      <c r="D329" s="80" t="s">
        <v>3370</v>
      </c>
      <c r="E329" s="80" t="b">
        <v>0</v>
      </c>
      <c r="F329" s="80" t="b">
        <v>0</v>
      </c>
      <c r="G329" s="80" t="b">
        <v>0</v>
      </c>
    </row>
    <row r="330" spans="1:7" ht="15">
      <c r="A330" s="81" t="s">
        <v>2533</v>
      </c>
      <c r="B330" s="80">
        <v>5</v>
      </c>
      <c r="C330" s="104">
        <v>0.0007666076635027178</v>
      </c>
      <c r="D330" s="80" t="s">
        <v>3370</v>
      </c>
      <c r="E330" s="80" t="b">
        <v>0</v>
      </c>
      <c r="F330" s="80" t="b">
        <v>0</v>
      </c>
      <c r="G330" s="80" t="b">
        <v>0</v>
      </c>
    </row>
    <row r="331" spans="1:7" ht="15">
      <c r="A331" s="81" t="s">
        <v>2534</v>
      </c>
      <c r="B331" s="80">
        <v>5</v>
      </c>
      <c r="C331" s="104">
        <v>0.0007666076635027178</v>
      </c>
      <c r="D331" s="80" t="s">
        <v>3370</v>
      </c>
      <c r="E331" s="80" t="b">
        <v>0</v>
      </c>
      <c r="F331" s="80" t="b">
        <v>0</v>
      </c>
      <c r="G331" s="80" t="b">
        <v>0</v>
      </c>
    </row>
    <row r="332" spans="1:7" ht="15">
      <c r="A332" s="81" t="s">
        <v>2535</v>
      </c>
      <c r="B332" s="80">
        <v>5</v>
      </c>
      <c r="C332" s="104">
        <v>0.00082449894964851</v>
      </c>
      <c r="D332" s="80" t="s">
        <v>3370</v>
      </c>
      <c r="E332" s="80" t="b">
        <v>0</v>
      </c>
      <c r="F332" s="80" t="b">
        <v>0</v>
      </c>
      <c r="G332" s="80" t="b">
        <v>0</v>
      </c>
    </row>
    <row r="333" spans="1:7" ht="15">
      <c r="A333" s="81" t="s">
        <v>2536</v>
      </c>
      <c r="B333" s="80">
        <v>5</v>
      </c>
      <c r="C333" s="104">
        <v>0.0008991337982795137</v>
      </c>
      <c r="D333" s="80" t="s">
        <v>3370</v>
      </c>
      <c r="E333" s="80" t="b">
        <v>0</v>
      </c>
      <c r="F333" s="80" t="b">
        <v>0</v>
      </c>
      <c r="G333" s="80" t="b">
        <v>0</v>
      </c>
    </row>
    <row r="334" spans="1:7" ht="15">
      <c r="A334" s="81" t="s">
        <v>2537</v>
      </c>
      <c r="B334" s="80">
        <v>5</v>
      </c>
      <c r="C334" s="104">
        <v>0.0007666076635027178</v>
      </c>
      <c r="D334" s="80" t="s">
        <v>3370</v>
      </c>
      <c r="E334" s="80" t="b">
        <v>0</v>
      </c>
      <c r="F334" s="80" t="b">
        <v>0</v>
      </c>
      <c r="G334" s="80" t="b">
        <v>0</v>
      </c>
    </row>
    <row r="335" spans="1:7" ht="15">
      <c r="A335" s="81" t="s">
        <v>2538</v>
      </c>
      <c r="B335" s="80">
        <v>5</v>
      </c>
      <c r="C335" s="104">
        <v>0.0007666076635027178</v>
      </c>
      <c r="D335" s="80" t="s">
        <v>3370</v>
      </c>
      <c r="E335" s="80" t="b">
        <v>0</v>
      </c>
      <c r="F335" s="80" t="b">
        <v>0</v>
      </c>
      <c r="G335" s="80" t="b">
        <v>0</v>
      </c>
    </row>
    <row r="336" spans="1:7" ht="15">
      <c r="A336" s="81" t="s">
        <v>2539</v>
      </c>
      <c r="B336" s="80">
        <v>5</v>
      </c>
      <c r="C336" s="104">
        <v>0.0011841524689603156</v>
      </c>
      <c r="D336" s="80" t="s">
        <v>3370</v>
      </c>
      <c r="E336" s="80" t="b">
        <v>0</v>
      </c>
      <c r="F336" s="80" t="b">
        <v>0</v>
      </c>
      <c r="G336" s="80" t="b">
        <v>0</v>
      </c>
    </row>
    <row r="337" spans="1:7" ht="15">
      <c r="A337" s="81" t="s">
        <v>2540</v>
      </c>
      <c r="B337" s="80">
        <v>5</v>
      </c>
      <c r="C337" s="104">
        <v>0.0007666076635027178</v>
      </c>
      <c r="D337" s="80" t="s">
        <v>3370</v>
      </c>
      <c r="E337" s="80" t="b">
        <v>0</v>
      </c>
      <c r="F337" s="80" t="b">
        <v>0</v>
      </c>
      <c r="G337" s="80" t="b">
        <v>0</v>
      </c>
    </row>
    <row r="338" spans="1:7" ht="15">
      <c r="A338" s="81" t="s">
        <v>2541</v>
      </c>
      <c r="B338" s="80">
        <v>5</v>
      </c>
      <c r="C338" s="104">
        <v>0.0007666076635027178</v>
      </c>
      <c r="D338" s="80" t="s">
        <v>3370</v>
      </c>
      <c r="E338" s="80" t="b">
        <v>0</v>
      </c>
      <c r="F338" s="80" t="b">
        <v>0</v>
      </c>
      <c r="G338" s="80" t="b">
        <v>0</v>
      </c>
    </row>
    <row r="339" spans="1:7" ht="15">
      <c r="A339" s="81" t="s">
        <v>2542</v>
      </c>
      <c r="B339" s="80">
        <v>5</v>
      </c>
      <c r="C339" s="104">
        <v>0.0007666076635027178</v>
      </c>
      <c r="D339" s="80" t="s">
        <v>3370</v>
      </c>
      <c r="E339" s="80" t="b">
        <v>0</v>
      </c>
      <c r="F339" s="80" t="b">
        <v>0</v>
      </c>
      <c r="G339" s="80" t="b">
        <v>0</v>
      </c>
    </row>
    <row r="340" spans="1:7" ht="15">
      <c r="A340" s="81" t="s">
        <v>2543</v>
      </c>
      <c r="B340" s="80">
        <v>5</v>
      </c>
      <c r="C340" s="104">
        <v>0.0010043257093044129</v>
      </c>
      <c r="D340" s="80" t="s">
        <v>3370</v>
      </c>
      <c r="E340" s="80" t="b">
        <v>0</v>
      </c>
      <c r="F340" s="80" t="b">
        <v>0</v>
      </c>
      <c r="G340" s="80" t="b">
        <v>0</v>
      </c>
    </row>
    <row r="341" spans="1:7" ht="15">
      <c r="A341" s="81" t="s">
        <v>2544</v>
      </c>
      <c r="B341" s="80">
        <v>5</v>
      </c>
      <c r="C341" s="104">
        <v>0.0007666076635027178</v>
      </c>
      <c r="D341" s="80" t="s">
        <v>3370</v>
      </c>
      <c r="E341" s="80" t="b">
        <v>0</v>
      </c>
      <c r="F341" s="80" t="b">
        <v>1</v>
      </c>
      <c r="G341" s="80" t="b">
        <v>0</v>
      </c>
    </row>
    <row r="342" spans="1:7" ht="15">
      <c r="A342" s="81" t="s">
        <v>2545</v>
      </c>
      <c r="B342" s="80">
        <v>5</v>
      </c>
      <c r="C342" s="104">
        <v>0.0007666076635027178</v>
      </c>
      <c r="D342" s="80" t="s">
        <v>3370</v>
      </c>
      <c r="E342" s="80" t="b">
        <v>0</v>
      </c>
      <c r="F342" s="80" t="b">
        <v>0</v>
      </c>
      <c r="G342" s="80" t="b">
        <v>0</v>
      </c>
    </row>
    <row r="343" spans="1:7" ht="15">
      <c r="A343" s="81" t="s">
        <v>2546</v>
      </c>
      <c r="B343" s="80">
        <v>5</v>
      </c>
      <c r="C343" s="104">
        <v>0.0007666076635027178</v>
      </c>
      <c r="D343" s="80" t="s">
        <v>3370</v>
      </c>
      <c r="E343" s="80" t="b">
        <v>1</v>
      </c>
      <c r="F343" s="80" t="b">
        <v>0</v>
      </c>
      <c r="G343" s="80" t="b">
        <v>0</v>
      </c>
    </row>
    <row r="344" spans="1:7" ht="15">
      <c r="A344" s="81" t="s">
        <v>2547</v>
      </c>
      <c r="B344" s="80">
        <v>5</v>
      </c>
      <c r="C344" s="104">
        <v>0.0007666076635027178</v>
      </c>
      <c r="D344" s="80" t="s">
        <v>3370</v>
      </c>
      <c r="E344" s="80" t="b">
        <v>0</v>
      </c>
      <c r="F344" s="80" t="b">
        <v>0</v>
      </c>
      <c r="G344" s="80" t="b">
        <v>0</v>
      </c>
    </row>
    <row r="345" spans="1:7" ht="15">
      <c r="A345" s="81" t="s">
        <v>2548</v>
      </c>
      <c r="B345" s="80">
        <v>5</v>
      </c>
      <c r="C345" s="104">
        <v>0.0008991337982795137</v>
      </c>
      <c r="D345" s="80" t="s">
        <v>3370</v>
      </c>
      <c r="E345" s="80" t="b">
        <v>0</v>
      </c>
      <c r="F345" s="80" t="b">
        <v>0</v>
      </c>
      <c r="G345" s="80" t="b">
        <v>0</v>
      </c>
    </row>
    <row r="346" spans="1:7" ht="15">
      <c r="A346" s="81" t="s">
        <v>2549</v>
      </c>
      <c r="B346" s="80">
        <v>5</v>
      </c>
      <c r="C346" s="104">
        <v>0.0007666076635027178</v>
      </c>
      <c r="D346" s="80" t="s">
        <v>3370</v>
      </c>
      <c r="E346" s="80" t="b">
        <v>1</v>
      </c>
      <c r="F346" s="80" t="b">
        <v>0</v>
      </c>
      <c r="G346" s="80" t="b">
        <v>0</v>
      </c>
    </row>
    <row r="347" spans="1:7" ht="15">
      <c r="A347" s="81" t="s">
        <v>2550</v>
      </c>
      <c r="B347" s="80">
        <v>5</v>
      </c>
      <c r="C347" s="104">
        <v>0.0007666076635027178</v>
      </c>
      <c r="D347" s="80" t="s">
        <v>3370</v>
      </c>
      <c r="E347" s="80" t="b">
        <v>0</v>
      </c>
      <c r="F347" s="80" t="b">
        <v>0</v>
      </c>
      <c r="G347" s="80" t="b">
        <v>0</v>
      </c>
    </row>
    <row r="348" spans="1:7" ht="15">
      <c r="A348" s="81" t="s">
        <v>2551</v>
      </c>
      <c r="B348" s="80">
        <v>5</v>
      </c>
      <c r="C348" s="104">
        <v>0.0007666076635027178</v>
      </c>
      <c r="D348" s="80" t="s">
        <v>3370</v>
      </c>
      <c r="E348" s="80" t="b">
        <v>0</v>
      </c>
      <c r="F348" s="80" t="b">
        <v>0</v>
      </c>
      <c r="G348" s="80" t="b">
        <v>0</v>
      </c>
    </row>
    <row r="349" spans="1:7" ht="15">
      <c r="A349" s="81" t="s">
        <v>2552</v>
      </c>
      <c r="B349" s="80">
        <v>5</v>
      </c>
      <c r="C349" s="104">
        <v>0.0011841524689603156</v>
      </c>
      <c r="D349" s="80" t="s">
        <v>3370</v>
      </c>
      <c r="E349" s="80" t="b">
        <v>0</v>
      </c>
      <c r="F349" s="80" t="b">
        <v>0</v>
      </c>
      <c r="G349" s="80" t="b">
        <v>0</v>
      </c>
    </row>
    <row r="350" spans="1:7" ht="15">
      <c r="A350" s="81" t="s">
        <v>2553</v>
      </c>
      <c r="B350" s="80">
        <v>5</v>
      </c>
      <c r="C350" s="104">
        <v>0.0007666076635027178</v>
      </c>
      <c r="D350" s="80" t="s">
        <v>3370</v>
      </c>
      <c r="E350" s="80" t="b">
        <v>0</v>
      </c>
      <c r="F350" s="80" t="b">
        <v>0</v>
      </c>
      <c r="G350" s="80" t="b">
        <v>0</v>
      </c>
    </row>
    <row r="351" spans="1:7" ht="15">
      <c r="A351" s="81" t="s">
        <v>2554</v>
      </c>
      <c r="B351" s="80">
        <v>5</v>
      </c>
      <c r="C351" s="104">
        <v>0.0007666076635027178</v>
      </c>
      <c r="D351" s="80" t="s">
        <v>3370</v>
      </c>
      <c r="E351" s="80" t="b">
        <v>1</v>
      </c>
      <c r="F351" s="80" t="b">
        <v>0</v>
      </c>
      <c r="G351" s="80" t="b">
        <v>0</v>
      </c>
    </row>
    <row r="352" spans="1:7" ht="15">
      <c r="A352" s="81" t="s">
        <v>2555</v>
      </c>
      <c r="B352" s="80">
        <v>5</v>
      </c>
      <c r="C352" s="104">
        <v>0.0007666076635027178</v>
      </c>
      <c r="D352" s="80" t="s">
        <v>3370</v>
      </c>
      <c r="E352" s="80" t="b">
        <v>0</v>
      </c>
      <c r="F352" s="80" t="b">
        <v>0</v>
      </c>
      <c r="G352" s="80" t="b">
        <v>0</v>
      </c>
    </row>
    <row r="353" spans="1:7" ht="15">
      <c r="A353" s="81" t="s">
        <v>2556</v>
      </c>
      <c r="B353" s="80">
        <v>5</v>
      </c>
      <c r="C353" s="104">
        <v>0.0007666076635027178</v>
      </c>
      <c r="D353" s="80" t="s">
        <v>3370</v>
      </c>
      <c r="E353" s="80" t="b">
        <v>0</v>
      </c>
      <c r="F353" s="80" t="b">
        <v>0</v>
      </c>
      <c r="G353" s="80" t="b">
        <v>0</v>
      </c>
    </row>
    <row r="354" spans="1:7" ht="15">
      <c r="A354" s="81" t="s">
        <v>2557</v>
      </c>
      <c r="B354" s="80">
        <v>5</v>
      </c>
      <c r="C354" s="104">
        <v>0.0007666076635027178</v>
      </c>
      <c r="D354" s="80" t="s">
        <v>3370</v>
      </c>
      <c r="E354" s="80" t="b">
        <v>0</v>
      </c>
      <c r="F354" s="80" t="b">
        <v>0</v>
      </c>
      <c r="G354" s="80" t="b">
        <v>0</v>
      </c>
    </row>
    <row r="355" spans="1:7" ht="15">
      <c r="A355" s="81" t="s">
        <v>2558</v>
      </c>
      <c r="B355" s="80">
        <v>5</v>
      </c>
      <c r="C355" s="104">
        <v>0.0007666076635027178</v>
      </c>
      <c r="D355" s="80" t="s">
        <v>3370</v>
      </c>
      <c r="E355" s="80" t="b">
        <v>0</v>
      </c>
      <c r="F355" s="80" t="b">
        <v>0</v>
      </c>
      <c r="G355" s="80" t="b">
        <v>0</v>
      </c>
    </row>
    <row r="356" spans="1:7" ht="15">
      <c r="A356" s="81" t="s">
        <v>2559</v>
      </c>
      <c r="B356" s="80">
        <v>5</v>
      </c>
      <c r="C356" s="104">
        <v>0.0007666076635027178</v>
      </c>
      <c r="D356" s="80" t="s">
        <v>3370</v>
      </c>
      <c r="E356" s="80" t="b">
        <v>0</v>
      </c>
      <c r="F356" s="80" t="b">
        <v>0</v>
      </c>
      <c r="G356" s="80" t="b">
        <v>0</v>
      </c>
    </row>
    <row r="357" spans="1:7" ht="15">
      <c r="A357" s="81" t="s">
        <v>2560</v>
      </c>
      <c r="B357" s="80">
        <v>5</v>
      </c>
      <c r="C357" s="104">
        <v>0.0010043257093044129</v>
      </c>
      <c r="D357" s="80" t="s">
        <v>3370</v>
      </c>
      <c r="E357" s="80" t="b">
        <v>0</v>
      </c>
      <c r="F357" s="80" t="b">
        <v>0</v>
      </c>
      <c r="G357" s="80" t="b">
        <v>0</v>
      </c>
    </row>
    <row r="358" spans="1:7" ht="15">
      <c r="A358" s="81" t="s">
        <v>2561</v>
      </c>
      <c r="B358" s="80">
        <v>5</v>
      </c>
      <c r="C358" s="104">
        <v>0.0007666076635027178</v>
      </c>
      <c r="D358" s="80" t="s">
        <v>3370</v>
      </c>
      <c r="E358" s="80" t="b">
        <v>0</v>
      </c>
      <c r="F358" s="80" t="b">
        <v>0</v>
      </c>
      <c r="G358" s="80" t="b">
        <v>0</v>
      </c>
    </row>
    <row r="359" spans="1:7" ht="15">
      <c r="A359" s="81" t="s">
        <v>2562</v>
      </c>
      <c r="B359" s="80">
        <v>5</v>
      </c>
      <c r="C359" s="104">
        <v>0.0007666076635027178</v>
      </c>
      <c r="D359" s="80" t="s">
        <v>3370</v>
      </c>
      <c r="E359" s="80" t="b">
        <v>0</v>
      </c>
      <c r="F359" s="80" t="b">
        <v>0</v>
      </c>
      <c r="G359" s="80" t="b">
        <v>0</v>
      </c>
    </row>
    <row r="360" spans="1:7" ht="15">
      <c r="A360" s="81" t="s">
        <v>2563</v>
      </c>
      <c r="B360" s="80">
        <v>5</v>
      </c>
      <c r="C360" s="104">
        <v>0.00082449894964851</v>
      </c>
      <c r="D360" s="80" t="s">
        <v>3370</v>
      </c>
      <c r="E360" s="80" t="b">
        <v>0</v>
      </c>
      <c r="F360" s="80" t="b">
        <v>0</v>
      </c>
      <c r="G360" s="80" t="b">
        <v>0</v>
      </c>
    </row>
    <row r="361" spans="1:7" ht="15">
      <c r="A361" s="81" t="s">
        <v>2564</v>
      </c>
      <c r="B361" s="80">
        <v>5</v>
      </c>
      <c r="C361" s="104">
        <v>0.0007666076635027178</v>
      </c>
      <c r="D361" s="80" t="s">
        <v>3370</v>
      </c>
      <c r="E361" s="80" t="b">
        <v>1</v>
      </c>
      <c r="F361" s="80" t="b">
        <v>0</v>
      </c>
      <c r="G361" s="80" t="b">
        <v>0</v>
      </c>
    </row>
    <row r="362" spans="1:7" ht="15">
      <c r="A362" s="81" t="s">
        <v>2565</v>
      </c>
      <c r="B362" s="80">
        <v>5</v>
      </c>
      <c r="C362" s="104">
        <v>0.0010043257093044129</v>
      </c>
      <c r="D362" s="80" t="s">
        <v>3370</v>
      </c>
      <c r="E362" s="80" t="b">
        <v>0</v>
      </c>
      <c r="F362" s="80" t="b">
        <v>0</v>
      </c>
      <c r="G362" s="80" t="b">
        <v>0</v>
      </c>
    </row>
    <row r="363" spans="1:7" ht="15">
      <c r="A363" s="81" t="s">
        <v>2566</v>
      </c>
      <c r="B363" s="80">
        <v>5</v>
      </c>
      <c r="C363" s="104">
        <v>0.0007666076635027178</v>
      </c>
      <c r="D363" s="80" t="s">
        <v>3370</v>
      </c>
      <c r="E363" s="80" t="b">
        <v>0</v>
      </c>
      <c r="F363" s="80" t="b">
        <v>0</v>
      </c>
      <c r="G363" s="80" t="b">
        <v>0</v>
      </c>
    </row>
    <row r="364" spans="1:7" ht="15">
      <c r="A364" s="81" t="s">
        <v>2567</v>
      </c>
      <c r="B364" s="80">
        <v>5</v>
      </c>
      <c r="C364" s="104">
        <v>0.0008991337982795137</v>
      </c>
      <c r="D364" s="80" t="s">
        <v>3370</v>
      </c>
      <c r="E364" s="80" t="b">
        <v>0</v>
      </c>
      <c r="F364" s="80" t="b">
        <v>0</v>
      </c>
      <c r="G364" s="80" t="b">
        <v>0</v>
      </c>
    </row>
    <row r="365" spans="1:7" ht="15">
      <c r="A365" s="81" t="s">
        <v>2568</v>
      </c>
      <c r="B365" s="80">
        <v>5</v>
      </c>
      <c r="C365" s="104">
        <v>0.00082449894964851</v>
      </c>
      <c r="D365" s="80" t="s">
        <v>3370</v>
      </c>
      <c r="E365" s="80" t="b">
        <v>0</v>
      </c>
      <c r="F365" s="80" t="b">
        <v>0</v>
      </c>
      <c r="G365" s="80" t="b">
        <v>0</v>
      </c>
    </row>
    <row r="366" spans="1:7" ht="15">
      <c r="A366" s="81" t="s">
        <v>2569</v>
      </c>
      <c r="B366" s="80">
        <v>5</v>
      </c>
      <c r="C366" s="104">
        <v>0.0007666076635027178</v>
      </c>
      <c r="D366" s="80" t="s">
        <v>3370</v>
      </c>
      <c r="E366" s="80" t="b">
        <v>0</v>
      </c>
      <c r="F366" s="80" t="b">
        <v>0</v>
      </c>
      <c r="G366" s="80" t="b">
        <v>0</v>
      </c>
    </row>
    <row r="367" spans="1:7" ht="15">
      <c r="A367" s="81" t="s">
        <v>2570</v>
      </c>
      <c r="B367" s="80">
        <v>5</v>
      </c>
      <c r="C367" s="104">
        <v>0.00082449894964851</v>
      </c>
      <c r="D367" s="80" t="s">
        <v>3370</v>
      </c>
      <c r="E367" s="80" t="b">
        <v>0</v>
      </c>
      <c r="F367" s="80" t="b">
        <v>0</v>
      </c>
      <c r="G367" s="80" t="b">
        <v>0</v>
      </c>
    </row>
    <row r="368" spans="1:7" ht="15">
      <c r="A368" s="81" t="s">
        <v>2571</v>
      </c>
      <c r="B368" s="80">
        <v>4</v>
      </c>
      <c r="C368" s="104">
        <v>0.000659599159718808</v>
      </c>
      <c r="D368" s="80" t="s">
        <v>3370</v>
      </c>
      <c r="E368" s="80" t="b">
        <v>0</v>
      </c>
      <c r="F368" s="80" t="b">
        <v>0</v>
      </c>
      <c r="G368" s="80" t="b">
        <v>0</v>
      </c>
    </row>
    <row r="369" spans="1:7" ht="15">
      <c r="A369" s="81" t="s">
        <v>2572</v>
      </c>
      <c r="B369" s="80">
        <v>4</v>
      </c>
      <c r="C369" s="104">
        <v>0.0009473219751682525</v>
      </c>
      <c r="D369" s="80" t="s">
        <v>3370</v>
      </c>
      <c r="E369" s="80" t="b">
        <v>0</v>
      </c>
      <c r="F369" s="80" t="b">
        <v>0</v>
      </c>
      <c r="G369" s="80" t="b">
        <v>0</v>
      </c>
    </row>
    <row r="370" spans="1:7" ht="15">
      <c r="A370" s="81" t="s">
        <v>2573</v>
      </c>
      <c r="B370" s="80">
        <v>4</v>
      </c>
      <c r="C370" s="104">
        <v>0.000659599159718808</v>
      </c>
      <c r="D370" s="80" t="s">
        <v>3370</v>
      </c>
      <c r="E370" s="80" t="b">
        <v>0</v>
      </c>
      <c r="F370" s="80" t="b">
        <v>0</v>
      </c>
      <c r="G370" s="80" t="b">
        <v>0</v>
      </c>
    </row>
    <row r="371" spans="1:7" ht="15">
      <c r="A371" s="81" t="s">
        <v>2574</v>
      </c>
      <c r="B371" s="80">
        <v>4</v>
      </c>
      <c r="C371" s="104">
        <v>0.0008034605674435303</v>
      </c>
      <c r="D371" s="80" t="s">
        <v>3370</v>
      </c>
      <c r="E371" s="80" t="b">
        <v>0</v>
      </c>
      <c r="F371" s="80" t="b">
        <v>0</v>
      </c>
      <c r="G371" s="80" t="b">
        <v>0</v>
      </c>
    </row>
    <row r="372" spans="1:7" ht="15">
      <c r="A372" s="81" t="s">
        <v>2575</v>
      </c>
      <c r="B372" s="80">
        <v>4</v>
      </c>
      <c r="C372" s="104">
        <v>0.000659599159718808</v>
      </c>
      <c r="D372" s="80" t="s">
        <v>3370</v>
      </c>
      <c r="E372" s="80" t="b">
        <v>0</v>
      </c>
      <c r="F372" s="80" t="b">
        <v>0</v>
      </c>
      <c r="G372" s="80" t="b">
        <v>0</v>
      </c>
    </row>
    <row r="373" spans="1:7" ht="15">
      <c r="A373" s="81" t="s">
        <v>2576</v>
      </c>
      <c r="B373" s="80">
        <v>4</v>
      </c>
      <c r="C373" s="104">
        <v>0.0009473219751682525</v>
      </c>
      <c r="D373" s="80" t="s">
        <v>3370</v>
      </c>
      <c r="E373" s="80" t="b">
        <v>0</v>
      </c>
      <c r="F373" s="80" t="b">
        <v>0</v>
      </c>
      <c r="G373" s="80" t="b">
        <v>0</v>
      </c>
    </row>
    <row r="374" spans="1:7" ht="15">
      <c r="A374" s="81" t="s">
        <v>2577</v>
      </c>
      <c r="B374" s="80">
        <v>4</v>
      </c>
      <c r="C374" s="104">
        <v>0.0009473219751682525</v>
      </c>
      <c r="D374" s="80" t="s">
        <v>3370</v>
      </c>
      <c r="E374" s="80" t="b">
        <v>0</v>
      </c>
      <c r="F374" s="80" t="b">
        <v>0</v>
      </c>
      <c r="G374" s="80" t="b">
        <v>0</v>
      </c>
    </row>
    <row r="375" spans="1:7" ht="15">
      <c r="A375" s="81" t="s">
        <v>2578</v>
      </c>
      <c r="B375" s="80">
        <v>4</v>
      </c>
      <c r="C375" s="104">
        <v>0.000719307038623611</v>
      </c>
      <c r="D375" s="80" t="s">
        <v>3370</v>
      </c>
      <c r="E375" s="80" t="b">
        <v>0</v>
      </c>
      <c r="F375" s="80" t="b">
        <v>0</v>
      </c>
      <c r="G375" s="80" t="b">
        <v>0</v>
      </c>
    </row>
    <row r="376" spans="1:7" ht="15">
      <c r="A376" s="81" t="s">
        <v>2579</v>
      </c>
      <c r="B376" s="80">
        <v>4</v>
      </c>
      <c r="C376" s="104">
        <v>0.000659599159718808</v>
      </c>
      <c r="D376" s="80" t="s">
        <v>3370</v>
      </c>
      <c r="E376" s="80" t="b">
        <v>0</v>
      </c>
      <c r="F376" s="80" t="b">
        <v>0</v>
      </c>
      <c r="G376" s="80" t="b">
        <v>0</v>
      </c>
    </row>
    <row r="377" spans="1:7" ht="15">
      <c r="A377" s="81" t="s">
        <v>2580</v>
      </c>
      <c r="B377" s="80">
        <v>4</v>
      </c>
      <c r="C377" s="104">
        <v>0.000659599159718808</v>
      </c>
      <c r="D377" s="80" t="s">
        <v>3370</v>
      </c>
      <c r="E377" s="80" t="b">
        <v>0</v>
      </c>
      <c r="F377" s="80" t="b">
        <v>0</v>
      </c>
      <c r="G377" s="80" t="b">
        <v>0</v>
      </c>
    </row>
    <row r="378" spans="1:7" ht="15">
      <c r="A378" s="81" t="s">
        <v>2581</v>
      </c>
      <c r="B378" s="80">
        <v>4</v>
      </c>
      <c r="C378" s="104">
        <v>0.0009473219751682525</v>
      </c>
      <c r="D378" s="80" t="s">
        <v>3370</v>
      </c>
      <c r="E378" s="80" t="b">
        <v>0</v>
      </c>
      <c r="F378" s="80" t="b">
        <v>0</v>
      </c>
      <c r="G378" s="80" t="b">
        <v>0</v>
      </c>
    </row>
    <row r="379" spans="1:7" ht="15">
      <c r="A379" s="81" t="s">
        <v>2582</v>
      </c>
      <c r="B379" s="80">
        <v>4</v>
      </c>
      <c r="C379" s="104">
        <v>0.000659599159718808</v>
      </c>
      <c r="D379" s="80" t="s">
        <v>3370</v>
      </c>
      <c r="E379" s="80" t="b">
        <v>0</v>
      </c>
      <c r="F379" s="80" t="b">
        <v>0</v>
      </c>
      <c r="G379" s="80" t="b">
        <v>0</v>
      </c>
    </row>
    <row r="380" spans="1:7" ht="15">
      <c r="A380" s="81" t="s">
        <v>2583</v>
      </c>
      <c r="B380" s="80">
        <v>4</v>
      </c>
      <c r="C380" s="104">
        <v>0.0008034605674435303</v>
      </c>
      <c r="D380" s="80" t="s">
        <v>3370</v>
      </c>
      <c r="E380" s="80" t="b">
        <v>0</v>
      </c>
      <c r="F380" s="80" t="b">
        <v>0</v>
      </c>
      <c r="G380" s="80" t="b">
        <v>0</v>
      </c>
    </row>
    <row r="381" spans="1:7" ht="15">
      <c r="A381" s="81" t="s">
        <v>2584</v>
      </c>
      <c r="B381" s="80">
        <v>4</v>
      </c>
      <c r="C381" s="104">
        <v>0.000659599159718808</v>
      </c>
      <c r="D381" s="80" t="s">
        <v>3370</v>
      </c>
      <c r="E381" s="80" t="b">
        <v>0</v>
      </c>
      <c r="F381" s="80" t="b">
        <v>0</v>
      </c>
      <c r="G381" s="80" t="b">
        <v>0</v>
      </c>
    </row>
    <row r="382" spans="1:7" ht="15">
      <c r="A382" s="81" t="s">
        <v>2585</v>
      </c>
      <c r="B382" s="80">
        <v>4</v>
      </c>
      <c r="C382" s="104">
        <v>0.000659599159718808</v>
      </c>
      <c r="D382" s="80" t="s">
        <v>3370</v>
      </c>
      <c r="E382" s="80" t="b">
        <v>0</v>
      </c>
      <c r="F382" s="80" t="b">
        <v>0</v>
      </c>
      <c r="G382" s="80" t="b">
        <v>0</v>
      </c>
    </row>
    <row r="383" spans="1:7" ht="15">
      <c r="A383" s="81" t="s">
        <v>2586</v>
      </c>
      <c r="B383" s="80">
        <v>4</v>
      </c>
      <c r="C383" s="104">
        <v>0.000659599159718808</v>
      </c>
      <c r="D383" s="80" t="s">
        <v>3370</v>
      </c>
      <c r="E383" s="80" t="b">
        <v>0</v>
      </c>
      <c r="F383" s="80" t="b">
        <v>0</v>
      </c>
      <c r="G383" s="80" t="b">
        <v>0</v>
      </c>
    </row>
    <row r="384" spans="1:7" ht="15">
      <c r="A384" s="81" t="s">
        <v>2587</v>
      </c>
      <c r="B384" s="80">
        <v>4</v>
      </c>
      <c r="C384" s="104">
        <v>0.000659599159718808</v>
      </c>
      <c r="D384" s="80" t="s">
        <v>3370</v>
      </c>
      <c r="E384" s="80" t="b">
        <v>0</v>
      </c>
      <c r="F384" s="80" t="b">
        <v>0</v>
      </c>
      <c r="G384" s="80" t="b">
        <v>0</v>
      </c>
    </row>
    <row r="385" spans="1:7" ht="15">
      <c r="A385" s="81" t="s">
        <v>2588</v>
      </c>
      <c r="B385" s="80">
        <v>4</v>
      </c>
      <c r="C385" s="104">
        <v>0.000719307038623611</v>
      </c>
      <c r="D385" s="80" t="s">
        <v>3370</v>
      </c>
      <c r="E385" s="80" t="b">
        <v>0</v>
      </c>
      <c r="F385" s="80" t="b">
        <v>0</v>
      </c>
      <c r="G385" s="80" t="b">
        <v>0</v>
      </c>
    </row>
    <row r="386" spans="1:7" ht="15">
      <c r="A386" s="81" t="s">
        <v>2589</v>
      </c>
      <c r="B386" s="80">
        <v>4</v>
      </c>
      <c r="C386" s="104">
        <v>0.000719307038623611</v>
      </c>
      <c r="D386" s="80" t="s">
        <v>3370</v>
      </c>
      <c r="E386" s="80" t="b">
        <v>0</v>
      </c>
      <c r="F386" s="80" t="b">
        <v>0</v>
      </c>
      <c r="G386" s="80" t="b">
        <v>0</v>
      </c>
    </row>
    <row r="387" spans="1:7" ht="15">
      <c r="A387" s="81" t="s">
        <v>2590</v>
      </c>
      <c r="B387" s="80">
        <v>4</v>
      </c>
      <c r="C387" s="104">
        <v>0.000659599159718808</v>
      </c>
      <c r="D387" s="80" t="s">
        <v>3370</v>
      </c>
      <c r="E387" s="80" t="b">
        <v>1</v>
      </c>
      <c r="F387" s="80" t="b">
        <v>0</v>
      </c>
      <c r="G387" s="80" t="b">
        <v>0</v>
      </c>
    </row>
    <row r="388" spans="1:7" ht="15">
      <c r="A388" s="81" t="s">
        <v>2591</v>
      </c>
      <c r="B388" s="80">
        <v>4</v>
      </c>
      <c r="C388" s="104">
        <v>0.0008034605674435303</v>
      </c>
      <c r="D388" s="80" t="s">
        <v>3370</v>
      </c>
      <c r="E388" s="80" t="b">
        <v>0</v>
      </c>
      <c r="F388" s="80" t="b">
        <v>0</v>
      </c>
      <c r="G388" s="80" t="b">
        <v>0</v>
      </c>
    </row>
    <row r="389" spans="1:7" ht="15">
      <c r="A389" s="81" t="s">
        <v>2592</v>
      </c>
      <c r="B389" s="80">
        <v>4</v>
      </c>
      <c r="C389" s="104">
        <v>0.000719307038623611</v>
      </c>
      <c r="D389" s="80" t="s">
        <v>3370</v>
      </c>
      <c r="E389" s="80" t="b">
        <v>0</v>
      </c>
      <c r="F389" s="80" t="b">
        <v>0</v>
      </c>
      <c r="G389" s="80" t="b">
        <v>0</v>
      </c>
    </row>
    <row r="390" spans="1:7" ht="15">
      <c r="A390" s="81" t="s">
        <v>2593</v>
      </c>
      <c r="B390" s="80">
        <v>4</v>
      </c>
      <c r="C390" s="104">
        <v>0.000659599159718808</v>
      </c>
      <c r="D390" s="80" t="s">
        <v>3370</v>
      </c>
      <c r="E390" s="80" t="b">
        <v>0</v>
      </c>
      <c r="F390" s="80" t="b">
        <v>0</v>
      </c>
      <c r="G390" s="80" t="b">
        <v>0</v>
      </c>
    </row>
    <row r="391" spans="1:7" ht="15">
      <c r="A391" s="81" t="s">
        <v>2594</v>
      </c>
      <c r="B391" s="80">
        <v>4</v>
      </c>
      <c r="C391" s="104">
        <v>0.0008034605674435303</v>
      </c>
      <c r="D391" s="80" t="s">
        <v>3370</v>
      </c>
      <c r="E391" s="80" t="b">
        <v>0</v>
      </c>
      <c r="F391" s="80" t="b">
        <v>0</v>
      </c>
      <c r="G391" s="80" t="b">
        <v>0</v>
      </c>
    </row>
    <row r="392" spans="1:7" ht="15">
      <c r="A392" s="81" t="s">
        <v>2595</v>
      </c>
      <c r="B392" s="80">
        <v>4</v>
      </c>
      <c r="C392" s="104">
        <v>0.000659599159718808</v>
      </c>
      <c r="D392" s="80" t="s">
        <v>3370</v>
      </c>
      <c r="E392" s="80" t="b">
        <v>0</v>
      </c>
      <c r="F392" s="80" t="b">
        <v>0</v>
      </c>
      <c r="G392" s="80" t="b">
        <v>0</v>
      </c>
    </row>
    <row r="393" spans="1:7" ht="15">
      <c r="A393" s="81" t="s">
        <v>2596</v>
      </c>
      <c r="B393" s="80">
        <v>4</v>
      </c>
      <c r="C393" s="104">
        <v>0.0008034605674435303</v>
      </c>
      <c r="D393" s="80" t="s">
        <v>3370</v>
      </c>
      <c r="E393" s="80" t="b">
        <v>0</v>
      </c>
      <c r="F393" s="80" t="b">
        <v>0</v>
      </c>
      <c r="G393" s="80" t="b">
        <v>0</v>
      </c>
    </row>
    <row r="394" spans="1:7" ht="15">
      <c r="A394" s="81" t="s">
        <v>2597</v>
      </c>
      <c r="B394" s="80">
        <v>4</v>
      </c>
      <c r="C394" s="104">
        <v>0.000659599159718808</v>
      </c>
      <c r="D394" s="80" t="s">
        <v>3370</v>
      </c>
      <c r="E394" s="80" t="b">
        <v>0</v>
      </c>
      <c r="F394" s="80" t="b">
        <v>0</v>
      </c>
      <c r="G394" s="80" t="b">
        <v>0</v>
      </c>
    </row>
    <row r="395" spans="1:7" ht="15">
      <c r="A395" s="81" t="s">
        <v>2598</v>
      </c>
      <c r="B395" s="80">
        <v>4</v>
      </c>
      <c r="C395" s="104">
        <v>0.000659599159718808</v>
      </c>
      <c r="D395" s="80" t="s">
        <v>3370</v>
      </c>
      <c r="E395" s="80" t="b">
        <v>0</v>
      </c>
      <c r="F395" s="80" t="b">
        <v>1</v>
      </c>
      <c r="G395" s="80" t="b">
        <v>0</v>
      </c>
    </row>
    <row r="396" spans="1:7" ht="15">
      <c r="A396" s="81" t="s">
        <v>2599</v>
      </c>
      <c r="B396" s="80">
        <v>4</v>
      </c>
      <c r="C396" s="104">
        <v>0.000719307038623611</v>
      </c>
      <c r="D396" s="80" t="s">
        <v>3370</v>
      </c>
      <c r="E396" s="80" t="b">
        <v>0</v>
      </c>
      <c r="F396" s="80" t="b">
        <v>0</v>
      </c>
      <c r="G396" s="80" t="b">
        <v>0</v>
      </c>
    </row>
    <row r="397" spans="1:7" ht="15">
      <c r="A397" s="81" t="s">
        <v>2600</v>
      </c>
      <c r="B397" s="80">
        <v>4</v>
      </c>
      <c r="C397" s="104">
        <v>0.000659599159718808</v>
      </c>
      <c r="D397" s="80" t="s">
        <v>3370</v>
      </c>
      <c r="E397" s="80" t="b">
        <v>0</v>
      </c>
      <c r="F397" s="80" t="b">
        <v>0</v>
      </c>
      <c r="G397" s="80" t="b">
        <v>0</v>
      </c>
    </row>
    <row r="398" spans="1:7" ht="15">
      <c r="A398" s="81" t="s">
        <v>2601</v>
      </c>
      <c r="B398" s="80">
        <v>4</v>
      </c>
      <c r="C398" s="104">
        <v>0.000659599159718808</v>
      </c>
      <c r="D398" s="80" t="s">
        <v>3370</v>
      </c>
      <c r="E398" s="80" t="b">
        <v>0</v>
      </c>
      <c r="F398" s="80" t="b">
        <v>0</v>
      </c>
      <c r="G398" s="80" t="b">
        <v>0</v>
      </c>
    </row>
    <row r="399" spans="1:7" ht="15">
      <c r="A399" s="81" t="s">
        <v>2602</v>
      </c>
      <c r="B399" s="80">
        <v>4</v>
      </c>
      <c r="C399" s="104">
        <v>0.0008034605674435303</v>
      </c>
      <c r="D399" s="80" t="s">
        <v>3370</v>
      </c>
      <c r="E399" s="80" t="b">
        <v>0</v>
      </c>
      <c r="F399" s="80" t="b">
        <v>0</v>
      </c>
      <c r="G399" s="80" t="b">
        <v>0</v>
      </c>
    </row>
    <row r="400" spans="1:7" ht="15">
      <c r="A400" s="81" t="s">
        <v>2603</v>
      </c>
      <c r="B400" s="80">
        <v>4</v>
      </c>
      <c r="C400" s="104">
        <v>0.000659599159718808</v>
      </c>
      <c r="D400" s="80" t="s">
        <v>3370</v>
      </c>
      <c r="E400" s="80" t="b">
        <v>1</v>
      </c>
      <c r="F400" s="80" t="b">
        <v>0</v>
      </c>
      <c r="G400" s="80" t="b">
        <v>0</v>
      </c>
    </row>
    <row r="401" spans="1:7" ht="15">
      <c r="A401" s="81" t="s">
        <v>2604</v>
      </c>
      <c r="B401" s="80">
        <v>4</v>
      </c>
      <c r="C401" s="104">
        <v>0.0008034605674435303</v>
      </c>
      <c r="D401" s="80" t="s">
        <v>3370</v>
      </c>
      <c r="E401" s="80" t="b">
        <v>0</v>
      </c>
      <c r="F401" s="80" t="b">
        <v>0</v>
      </c>
      <c r="G401" s="80" t="b">
        <v>0</v>
      </c>
    </row>
    <row r="402" spans="1:7" ht="15">
      <c r="A402" s="81" t="s">
        <v>2605</v>
      </c>
      <c r="B402" s="80">
        <v>4</v>
      </c>
      <c r="C402" s="104">
        <v>0.000659599159718808</v>
      </c>
      <c r="D402" s="80" t="s">
        <v>3370</v>
      </c>
      <c r="E402" s="80" t="b">
        <v>0</v>
      </c>
      <c r="F402" s="80" t="b">
        <v>0</v>
      </c>
      <c r="G402" s="80" t="b">
        <v>0</v>
      </c>
    </row>
    <row r="403" spans="1:7" ht="15">
      <c r="A403" s="81" t="s">
        <v>2606</v>
      </c>
      <c r="B403" s="80">
        <v>4</v>
      </c>
      <c r="C403" s="104">
        <v>0.000659599159718808</v>
      </c>
      <c r="D403" s="80" t="s">
        <v>3370</v>
      </c>
      <c r="E403" s="80" t="b">
        <v>0</v>
      </c>
      <c r="F403" s="80" t="b">
        <v>0</v>
      </c>
      <c r="G403" s="80" t="b">
        <v>0</v>
      </c>
    </row>
    <row r="404" spans="1:7" ht="15">
      <c r="A404" s="81" t="s">
        <v>2607</v>
      </c>
      <c r="B404" s="80">
        <v>4</v>
      </c>
      <c r="C404" s="104">
        <v>0.000659599159718808</v>
      </c>
      <c r="D404" s="80" t="s">
        <v>3370</v>
      </c>
      <c r="E404" s="80" t="b">
        <v>0</v>
      </c>
      <c r="F404" s="80" t="b">
        <v>0</v>
      </c>
      <c r="G404" s="80" t="b">
        <v>0</v>
      </c>
    </row>
    <row r="405" spans="1:7" ht="15">
      <c r="A405" s="81" t="s">
        <v>2608</v>
      </c>
      <c r="B405" s="80">
        <v>4</v>
      </c>
      <c r="C405" s="104">
        <v>0.000659599159718808</v>
      </c>
      <c r="D405" s="80" t="s">
        <v>3370</v>
      </c>
      <c r="E405" s="80" t="b">
        <v>0</v>
      </c>
      <c r="F405" s="80" t="b">
        <v>0</v>
      </c>
      <c r="G405" s="80" t="b">
        <v>0</v>
      </c>
    </row>
    <row r="406" spans="1:7" ht="15">
      <c r="A406" s="81" t="s">
        <v>2609</v>
      </c>
      <c r="B406" s="80">
        <v>4</v>
      </c>
      <c r="C406" s="104">
        <v>0.0008034605674435303</v>
      </c>
      <c r="D406" s="80" t="s">
        <v>3370</v>
      </c>
      <c r="E406" s="80" t="b">
        <v>0</v>
      </c>
      <c r="F406" s="80" t="b">
        <v>0</v>
      </c>
      <c r="G406" s="80" t="b">
        <v>0</v>
      </c>
    </row>
    <row r="407" spans="1:7" ht="15">
      <c r="A407" s="81" t="s">
        <v>2610</v>
      </c>
      <c r="B407" s="80">
        <v>4</v>
      </c>
      <c r="C407" s="104">
        <v>0.0008034605674435303</v>
      </c>
      <c r="D407" s="80" t="s">
        <v>3370</v>
      </c>
      <c r="E407" s="80" t="b">
        <v>0</v>
      </c>
      <c r="F407" s="80" t="b">
        <v>0</v>
      </c>
      <c r="G407" s="80" t="b">
        <v>0</v>
      </c>
    </row>
    <row r="408" spans="1:7" ht="15">
      <c r="A408" s="81" t="s">
        <v>2611</v>
      </c>
      <c r="B408" s="80">
        <v>4</v>
      </c>
      <c r="C408" s="104">
        <v>0.000659599159718808</v>
      </c>
      <c r="D408" s="80" t="s">
        <v>3370</v>
      </c>
      <c r="E408" s="80" t="b">
        <v>0</v>
      </c>
      <c r="F408" s="80" t="b">
        <v>0</v>
      </c>
      <c r="G408" s="80" t="b">
        <v>0</v>
      </c>
    </row>
    <row r="409" spans="1:7" ht="15">
      <c r="A409" s="81" t="s">
        <v>2612</v>
      </c>
      <c r="B409" s="80">
        <v>4</v>
      </c>
      <c r="C409" s="104">
        <v>0.000659599159718808</v>
      </c>
      <c r="D409" s="80" t="s">
        <v>3370</v>
      </c>
      <c r="E409" s="80" t="b">
        <v>0</v>
      </c>
      <c r="F409" s="80" t="b">
        <v>0</v>
      </c>
      <c r="G409" s="80" t="b">
        <v>0</v>
      </c>
    </row>
    <row r="410" spans="1:7" ht="15">
      <c r="A410" s="81" t="s">
        <v>2613</v>
      </c>
      <c r="B410" s="80">
        <v>4</v>
      </c>
      <c r="C410" s="104">
        <v>0.000659599159718808</v>
      </c>
      <c r="D410" s="80" t="s">
        <v>3370</v>
      </c>
      <c r="E410" s="80" t="b">
        <v>0</v>
      </c>
      <c r="F410" s="80" t="b">
        <v>0</v>
      </c>
      <c r="G410" s="80" t="b">
        <v>0</v>
      </c>
    </row>
    <row r="411" spans="1:7" ht="15">
      <c r="A411" s="81" t="s">
        <v>2614</v>
      </c>
      <c r="B411" s="80">
        <v>4</v>
      </c>
      <c r="C411" s="104">
        <v>0.000719307038623611</v>
      </c>
      <c r="D411" s="80" t="s">
        <v>3370</v>
      </c>
      <c r="E411" s="80" t="b">
        <v>0</v>
      </c>
      <c r="F411" s="80" t="b">
        <v>0</v>
      </c>
      <c r="G411" s="80" t="b">
        <v>0</v>
      </c>
    </row>
    <row r="412" spans="1:7" ht="15">
      <c r="A412" s="81" t="s">
        <v>2615</v>
      </c>
      <c r="B412" s="80">
        <v>4</v>
      </c>
      <c r="C412" s="104">
        <v>0.000659599159718808</v>
      </c>
      <c r="D412" s="80" t="s">
        <v>3370</v>
      </c>
      <c r="E412" s="80" t="b">
        <v>0</v>
      </c>
      <c r="F412" s="80" t="b">
        <v>0</v>
      </c>
      <c r="G412" s="80" t="b">
        <v>0</v>
      </c>
    </row>
    <row r="413" spans="1:7" ht="15">
      <c r="A413" s="81" t="s">
        <v>2616</v>
      </c>
      <c r="B413" s="80">
        <v>4</v>
      </c>
      <c r="C413" s="104">
        <v>0.000659599159718808</v>
      </c>
      <c r="D413" s="80" t="s">
        <v>3370</v>
      </c>
      <c r="E413" s="80" t="b">
        <v>0</v>
      </c>
      <c r="F413" s="80" t="b">
        <v>0</v>
      </c>
      <c r="G413" s="80" t="b">
        <v>0</v>
      </c>
    </row>
    <row r="414" spans="1:7" ht="15">
      <c r="A414" s="81" t="s">
        <v>2617</v>
      </c>
      <c r="B414" s="80">
        <v>4</v>
      </c>
      <c r="C414" s="104">
        <v>0.000719307038623611</v>
      </c>
      <c r="D414" s="80" t="s">
        <v>3370</v>
      </c>
      <c r="E414" s="80" t="b">
        <v>0</v>
      </c>
      <c r="F414" s="80" t="b">
        <v>0</v>
      </c>
      <c r="G414" s="80" t="b">
        <v>0</v>
      </c>
    </row>
    <row r="415" spans="1:7" ht="15">
      <c r="A415" s="81" t="s">
        <v>2618</v>
      </c>
      <c r="B415" s="80">
        <v>4</v>
      </c>
      <c r="C415" s="104">
        <v>0.000659599159718808</v>
      </c>
      <c r="D415" s="80" t="s">
        <v>3370</v>
      </c>
      <c r="E415" s="80" t="b">
        <v>0</v>
      </c>
      <c r="F415" s="80" t="b">
        <v>0</v>
      </c>
      <c r="G415" s="80" t="b">
        <v>0</v>
      </c>
    </row>
    <row r="416" spans="1:7" ht="15">
      <c r="A416" s="81" t="s">
        <v>2619</v>
      </c>
      <c r="B416" s="80">
        <v>4</v>
      </c>
      <c r="C416" s="104">
        <v>0.000659599159718808</v>
      </c>
      <c r="D416" s="80" t="s">
        <v>3370</v>
      </c>
      <c r="E416" s="80" t="b">
        <v>0</v>
      </c>
      <c r="F416" s="80" t="b">
        <v>0</v>
      </c>
      <c r="G416" s="80" t="b">
        <v>0</v>
      </c>
    </row>
    <row r="417" spans="1:7" ht="15">
      <c r="A417" s="81" t="s">
        <v>2620</v>
      </c>
      <c r="B417" s="80">
        <v>4</v>
      </c>
      <c r="C417" s="104">
        <v>0.0008034605674435303</v>
      </c>
      <c r="D417" s="80" t="s">
        <v>3370</v>
      </c>
      <c r="E417" s="80" t="b">
        <v>0</v>
      </c>
      <c r="F417" s="80" t="b">
        <v>0</v>
      </c>
      <c r="G417" s="80" t="b">
        <v>0</v>
      </c>
    </row>
    <row r="418" spans="1:7" ht="15">
      <c r="A418" s="81" t="s">
        <v>2621</v>
      </c>
      <c r="B418" s="80">
        <v>4</v>
      </c>
      <c r="C418" s="104">
        <v>0.000659599159718808</v>
      </c>
      <c r="D418" s="80" t="s">
        <v>3370</v>
      </c>
      <c r="E418" s="80" t="b">
        <v>0</v>
      </c>
      <c r="F418" s="80" t="b">
        <v>0</v>
      </c>
      <c r="G418" s="80" t="b">
        <v>0</v>
      </c>
    </row>
    <row r="419" spans="1:7" ht="15">
      <c r="A419" s="81" t="s">
        <v>2622</v>
      </c>
      <c r="B419" s="80">
        <v>4</v>
      </c>
      <c r="C419" s="104">
        <v>0.000719307038623611</v>
      </c>
      <c r="D419" s="80" t="s">
        <v>3370</v>
      </c>
      <c r="E419" s="80" t="b">
        <v>0</v>
      </c>
      <c r="F419" s="80" t="b">
        <v>0</v>
      </c>
      <c r="G419" s="80" t="b">
        <v>0</v>
      </c>
    </row>
    <row r="420" spans="1:7" ht="15">
      <c r="A420" s="81" t="s">
        <v>2623</v>
      </c>
      <c r="B420" s="80">
        <v>4</v>
      </c>
      <c r="C420" s="104">
        <v>0.0008034605674435303</v>
      </c>
      <c r="D420" s="80" t="s">
        <v>3370</v>
      </c>
      <c r="E420" s="80" t="b">
        <v>0</v>
      </c>
      <c r="F420" s="80" t="b">
        <v>0</v>
      </c>
      <c r="G420" s="80" t="b">
        <v>0</v>
      </c>
    </row>
    <row r="421" spans="1:7" ht="15">
      <c r="A421" s="81" t="s">
        <v>2624</v>
      </c>
      <c r="B421" s="80">
        <v>4</v>
      </c>
      <c r="C421" s="104">
        <v>0.000719307038623611</v>
      </c>
      <c r="D421" s="80" t="s">
        <v>3370</v>
      </c>
      <c r="E421" s="80" t="b">
        <v>0</v>
      </c>
      <c r="F421" s="80" t="b">
        <v>0</v>
      </c>
      <c r="G421" s="80" t="b">
        <v>0</v>
      </c>
    </row>
    <row r="422" spans="1:7" ht="15">
      <c r="A422" s="81" t="s">
        <v>2625</v>
      </c>
      <c r="B422" s="80">
        <v>4</v>
      </c>
      <c r="C422" s="104">
        <v>0.0009473219751682525</v>
      </c>
      <c r="D422" s="80" t="s">
        <v>3370</v>
      </c>
      <c r="E422" s="80" t="b">
        <v>0</v>
      </c>
      <c r="F422" s="80" t="b">
        <v>0</v>
      </c>
      <c r="G422" s="80" t="b">
        <v>0</v>
      </c>
    </row>
    <row r="423" spans="1:7" ht="15">
      <c r="A423" s="81" t="s">
        <v>2626</v>
      </c>
      <c r="B423" s="80">
        <v>4</v>
      </c>
      <c r="C423" s="104">
        <v>0.0009473219751682525</v>
      </c>
      <c r="D423" s="80" t="s">
        <v>3370</v>
      </c>
      <c r="E423" s="80" t="b">
        <v>0</v>
      </c>
      <c r="F423" s="80" t="b">
        <v>0</v>
      </c>
      <c r="G423" s="80" t="b">
        <v>0</v>
      </c>
    </row>
    <row r="424" spans="1:7" ht="15">
      <c r="A424" s="81" t="s">
        <v>2627</v>
      </c>
      <c r="B424" s="80">
        <v>4</v>
      </c>
      <c r="C424" s="104">
        <v>0.0008034605674435303</v>
      </c>
      <c r="D424" s="80" t="s">
        <v>3370</v>
      </c>
      <c r="E424" s="80" t="b">
        <v>0</v>
      </c>
      <c r="F424" s="80" t="b">
        <v>0</v>
      </c>
      <c r="G424" s="80" t="b">
        <v>0</v>
      </c>
    </row>
    <row r="425" spans="1:7" ht="15">
      <c r="A425" s="81" t="s">
        <v>2628</v>
      </c>
      <c r="B425" s="80">
        <v>4</v>
      </c>
      <c r="C425" s="104">
        <v>0.0008034605674435303</v>
      </c>
      <c r="D425" s="80" t="s">
        <v>3370</v>
      </c>
      <c r="E425" s="80" t="b">
        <v>0</v>
      </c>
      <c r="F425" s="80" t="b">
        <v>0</v>
      </c>
      <c r="G425" s="80" t="b">
        <v>0</v>
      </c>
    </row>
    <row r="426" spans="1:7" ht="15">
      <c r="A426" s="81" t="s">
        <v>2629</v>
      </c>
      <c r="B426" s="80">
        <v>4</v>
      </c>
      <c r="C426" s="104">
        <v>0.000659599159718808</v>
      </c>
      <c r="D426" s="80" t="s">
        <v>3370</v>
      </c>
      <c r="E426" s="80" t="b">
        <v>0</v>
      </c>
      <c r="F426" s="80" t="b">
        <v>0</v>
      </c>
      <c r="G426" s="80" t="b">
        <v>0</v>
      </c>
    </row>
    <row r="427" spans="1:7" ht="15">
      <c r="A427" s="81" t="s">
        <v>2630</v>
      </c>
      <c r="B427" s="80">
        <v>4</v>
      </c>
      <c r="C427" s="104">
        <v>0.000719307038623611</v>
      </c>
      <c r="D427" s="80" t="s">
        <v>3370</v>
      </c>
      <c r="E427" s="80" t="b">
        <v>0</v>
      </c>
      <c r="F427" s="80" t="b">
        <v>0</v>
      </c>
      <c r="G427" s="80" t="b">
        <v>0</v>
      </c>
    </row>
    <row r="428" spans="1:7" ht="15">
      <c r="A428" s="81" t="s">
        <v>2631</v>
      </c>
      <c r="B428" s="80">
        <v>4</v>
      </c>
      <c r="C428" s="104">
        <v>0.000719307038623611</v>
      </c>
      <c r="D428" s="80" t="s">
        <v>3370</v>
      </c>
      <c r="E428" s="80" t="b">
        <v>0</v>
      </c>
      <c r="F428" s="80" t="b">
        <v>0</v>
      </c>
      <c r="G428" s="80" t="b">
        <v>0</v>
      </c>
    </row>
    <row r="429" spans="1:7" ht="15">
      <c r="A429" s="81" t="s">
        <v>2632</v>
      </c>
      <c r="B429" s="80">
        <v>4</v>
      </c>
      <c r="C429" s="104">
        <v>0.000659599159718808</v>
      </c>
      <c r="D429" s="80" t="s">
        <v>3370</v>
      </c>
      <c r="E429" s="80" t="b">
        <v>0</v>
      </c>
      <c r="F429" s="80" t="b">
        <v>0</v>
      </c>
      <c r="G429" s="80" t="b">
        <v>0</v>
      </c>
    </row>
    <row r="430" spans="1:7" ht="15">
      <c r="A430" s="81" t="s">
        <v>2633</v>
      </c>
      <c r="B430" s="80">
        <v>4</v>
      </c>
      <c r="C430" s="104">
        <v>0.000659599159718808</v>
      </c>
      <c r="D430" s="80" t="s">
        <v>3370</v>
      </c>
      <c r="E430" s="80" t="b">
        <v>0</v>
      </c>
      <c r="F430" s="80" t="b">
        <v>0</v>
      </c>
      <c r="G430" s="80" t="b">
        <v>0</v>
      </c>
    </row>
    <row r="431" spans="1:7" ht="15">
      <c r="A431" s="81" t="s">
        <v>2634</v>
      </c>
      <c r="B431" s="80">
        <v>4</v>
      </c>
      <c r="C431" s="104">
        <v>0.000719307038623611</v>
      </c>
      <c r="D431" s="80" t="s">
        <v>3370</v>
      </c>
      <c r="E431" s="80" t="b">
        <v>0</v>
      </c>
      <c r="F431" s="80" t="b">
        <v>0</v>
      </c>
      <c r="G431" s="80" t="b">
        <v>0</v>
      </c>
    </row>
    <row r="432" spans="1:7" ht="15">
      <c r="A432" s="81" t="s">
        <v>2635</v>
      </c>
      <c r="B432" s="80">
        <v>4</v>
      </c>
      <c r="C432" s="104">
        <v>0.000659599159718808</v>
      </c>
      <c r="D432" s="80" t="s">
        <v>3370</v>
      </c>
      <c r="E432" s="80" t="b">
        <v>0</v>
      </c>
      <c r="F432" s="80" t="b">
        <v>0</v>
      </c>
      <c r="G432" s="80" t="b">
        <v>0</v>
      </c>
    </row>
    <row r="433" spans="1:7" ht="15">
      <c r="A433" s="81" t="s">
        <v>2636</v>
      </c>
      <c r="B433" s="80">
        <v>4</v>
      </c>
      <c r="C433" s="104">
        <v>0.000719307038623611</v>
      </c>
      <c r="D433" s="80" t="s">
        <v>3370</v>
      </c>
      <c r="E433" s="80" t="b">
        <v>0</v>
      </c>
      <c r="F433" s="80" t="b">
        <v>0</v>
      </c>
      <c r="G433" s="80" t="b">
        <v>0</v>
      </c>
    </row>
    <row r="434" spans="1:7" ht="15">
      <c r="A434" s="81" t="s">
        <v>2637</v>
      </c>
      <c r="B434" s="80">
        <v>4</v>
      </c>
      <c r="C434" s="104">
        <v>0.000719307038623611</v>
      </c>
      <c r="D434" s="80" t="s">
        <v>3370</v>
      </c>
      <c r="E434" s="80" t="b">
        <v>1</v>
      </c>
      <c r="F434" s="80" t="b">
        <v>0</v>
      </c>
      <c r="G434" s="80" t="b">
        <v>0</v>
      </c>
    </row>
    <row r="435" spans="1:7" ht="15">
      <c r="A435" s="81" t="s">
        <v>2638</v>
      </c>
      <c r="B435" s="80">
        <v>4</v>
      </c>
      <c r="C435" s="104">
        <v>0.000659599159718808</v>
      </c>
      <c r="D435" s="80" t="s">
        <v>3370</v>
      </c>
      <c r="E435" s="80" t="b">
        <v>0</v>
      </c>
      <c r="F435" s="80" t="b">
        <v>0</v>
      </c>
      <c r="G435" s="80" t="b">
        <v>0</v>
      </c>
    </row>
    <row r="436" spans="1:7" ht="15">
      <c r="A436" s="81" t="s">
        <v>2639</v>
      </c>
      <c r="B436" s="80">
        <v>4</v>
      </c>
      <c r="C436" s="104">
        <v>0.0008034605674435303</v>
      </c>
      <c r="D436" s="80" t="s">
        <v>3370</v>
      </c>
      <c r="E436" s="80" t="b">
        <v>0</v>
      </c>
      <c r="F436" s="80" t="b">
        <v>0</v>
      </c>
      <c r="G436" s="80" t="b">
        <v>0</v>
      </c>
    </row>
    <row r="437" spans="1:7" ht="15">
      <c r="A437" s="81" t="s">
        <v>2640</v>
      </c>
      <c r="B437" s="80">
        <v>4</v>
      </c>
      <c r="C437" s="104">
        <v>0.000719307038623611</v>
      </c>
      <c r="D437" s="80" t="s">
        <v>3370</v>
      </c>
      <c r="E437" s="80" t="b">
        <v>0</v>
      </c>
      <c r="F437" s="80" t="b">
        <v>0</v>
      </c>
      <c r="G437" s="80" t="b">
        <v>0</v>
      </c>
    </row>
    <row r="438" spans="1:7" ht="15">
      <c r="A438" s="81" t="s">
        <v>2641</v>
      </c>
      <c r="B438" s="80">
        <v>4</v>
      </c>
      <c r="C438" s="104">
        <v>0.000659599159718808</v>
      </c>
      <c r="D438" s="80" t="s">
        <v>3370</v>
      </c>
      <c r="E438" s="80" t="b">
        <v>0</v>
      </c>
      <c r="F438" s="80" t="b">
        <v>0</v>
      </c>
      <c r="G438" s="80" t="b">
        <v>0</v>
      </c>
    </row>
    <row r="439" spans="1:7" ht="15">
      <c r="A439" s="81" t="s">
        <v>2642</v>
      </c>
      <c r="B439" s="80">
        <v>4</v>
      </c>
      <c r="C439" s="104">
        <v>0.000659599159718808</v>
      </c>
      <c r="D439" s="80" t="s">
        <v>3370</v>
      </c>
      <c r="E439" s="80" t="b">
        <v>0</v>
      </c>
      <c r="F439" s="80" t="b">
        <v>0</v>
      </c>
      <c r="G439" s="80" t="b">
        <v>0</v>
      </c>
    </row>
    <row r="440" spans="1:7" ht="15">
      <c r="A440" s="81" t="s">
        <v>2643</v>
      </c>
      <c r="B440" s="80">
        <v>4</v>
      </c>
      <c r="C440" s="104">
        <v>0.0009473219751682525</v>
      </c>
      <c r="D440" s="80" t="s">
        <v>3370</v>
      </c>
      <c r="E440" s="80" t="b">
        <v>0</v>
      </c>
      <c r="F440" s="80" t="b">
        <v>0</v>
      </c>
      <c r="G440" s="80" t="b">
        <v>0</v>
      </c>
    </row>
    <row r="441" spans="1:7" ht="15">
      <c r="A441" s="81" t="s">
        <v>2644</v>
      </c>
      <c r="B441" s="80">
        <v>4</v>
      </c>
      <c r="C441" s="104">
        <v>0.000719307038623611</v>
      </c>
      <c r="D441" s="80" t="s">
        <v>3370</v>
      </c>
      <c r="E441" s="80" t="b">
        <v>0</v>
      </c>
      <c r="F441" s="80" t="b">
        <v>0</v>
      </c>
      <c r="G441" s="80" t="b">
        <v>0</v>
      </c>
    </row>
    <row r="442" spans="1:7" ht="15">
      <c r="A442" s="81" t="s">
        <v>2645</v>
      </c>
      <c r="B442" s="80">
        <v>4</v>
      </c>
      <c r="C442" s="104">
        <v>0.000659599159718808</v>
      </c>
      <c r="D442" s="80" t="s">
        <v>3370</v>
      </c>
      <c r="E442" s="80" t="b">
        <v>0</v>
      </c>
      <c r="F442" s="80" t="b">
        <v>0</v>
      </c>
      <c r="G442" s="80" t="b">
        <v>0</v>
      </c>
    </row>
    <row r="443" spans="1:7" ht="15">
      <c r="A443" s="81" t="s">
        <v>2646</v>
      </c>
      <c r="B443" s="80">
        <v>4</v>
      </c>
      <c r="C443" s="104">
        <v>0.000659599159718808</v>
      </c>
      <c r="D443" s="80" t="s">
        <v>3370</v>
      </c>
      <c r="E443" s="80" t="b">
        <v>0</v>
      </c>
      <c r="F443" s="80" t="b">
        <v>0</v>
      </c>
      <c r="G443" s="80" t="b">
        <v>0</v>
      </c>
    </row>
    <row r="444" spans="1:7" ht="15">
      <c r="A444" s="81" t="s">
        <v>2647</v>
      </c>
      <c r="B444" s="80">
        <v>4</v>
      </c>
      <c r="C444" s="104">
        <v>0.000719307038623611</v>
      </c>
      <c r="D444" s="80" t="s">
        <v>3370</v>
      </c>
      <c r="E444" s="80" t="b">
        <v>0</v>
      </c>
      <c r="F444" s="80" t="b">
        <v>0</v>
      </c>
      <c r="G444" s="80" t="b">
        <v>0</v>
      </c>
    </row>
    <row r="445" spans="1:7" ht="15">
      <c r="A445" s="81" t="s">
        <v>2648</v>
      </c>
      <c r="B445" s="80">
        <v>4</v>
      </c>
      <c r="C445" s="104">
        <v>0.000719307038623611</v>
      </c>
      <c r="D445" s="80" t="s">
        <v>3370</v>
      </c>
      <c r="E445" s="80" t="b">
        <v>0</v>
      </c>
      <c r="F445" s="80" t="b">
        <v>0</v>
      </c>
      <c r="G445" s="80" t="b">
        <v>0</v>
      </c>
    </row>
    <row r="446" spans="1:7" ht="15">
      <c r="A446" s="81" t="s">
        <v>2649</v>
      </c>
      <c r="B446" s="80">
        <v>4</v>
      </c>
      <c r="C446" s="104">
        <v>0.0008034605674435303</v>
      </c>
      <c r="D446" s="80" t="s">
        <v>3370</v>
      </c>
      <c r="E446" s="80" t="b">
        <v>0</v>
      </c>
      <c r="F446" s="80" t="b">
        <v>0</v>
      </c>
      <c r="G446" s="80" t="b">
        <v>0</v>
      </c>
    </row>
    <row r="447" spans="1:7" ht="15">
      <c r="A447" s="81" t="s">
        <v>2650</v>
      </c>
      <c r="B447" s="80">
        <v>4</v>
      </c>
      <c r="C447" s="104">
        <v>0.000719307038623611</v>
      </c>
      <c r="D447" s="80" t="s">
        <v>3370</v>
      </c>
      <c r="E447" s="80" t="b">
        <v>0</v>
      </c>
      <c r="F447" s="80" t="b">
        <v>0</v>
      </c>
      <c r="G447" s="80" t="b">
        <v>0</v>
      </c>
    </row>
    <row r="448" spans="1:7" ht="15">
      <c r="A448" s="81" t="s">
        <v>2651</v>
      </c>
      <c r="B448" s="80">
        <v>4</v>
      </c>
      <c r="C448" s="104">
        <v>0.000719307038623611</v>
      </c>
      <c r="D448" s="80" t="s">
        <v>3370</v>
      </c>
      <c r="E448" s="80" t="b">
        <v>0</v>
      </c>
      <c r="F448" s="80" t="b">
        <v>0</v>
      </c>
      <c r="G448" s="80" t="b">
        <v>0</v>
      </c>
    </row>
    <row r="449" spans="1:7" ht="15">
      <c r="A449" s="81" t="s">
        <v>2652</v>
      </c>
      <c r="B449" s="80">
        <v>4</v>
      </c>
      <c r="C449" s="104">
        <v>0.000719307038623611</v>
      </c>
      <c r="D449" s="80" t="s">
        <v>3370</v>
      </c>
      <c r="E449" s="80" t="b">
        <v>0</v>
      </c>
      <c r="F449" s="80" t="b">
        <v>0</v>
      </c>
      <c r="G449" s="80" t="b">
        <v>0</v>
      </c>
    </row>
    <row r="450" spans="1:7" ht="15">
      <c r="A450" s="81" t="s">
        <v>2653</v>
      </c>
      <c r="B450" s="80">
        <v>4</v>
      </c>
      <c r="C450" s="104">
        <v>0.000719307038623611</v>
      </c>
      <c r="D450" s="80" t="s">
        <v>3370</v>
      </c>
      <c r="E450" s="80" t="b">
        <v>0</v>
      </c>
      <c r="F450" s="80" t="b">
        <v>0</v>
      </c>
      <c r="G450" s="80" t="b">
        <v>0</v>
      </c>
    </row>
    <row r="451" spans="1:7" ht="15">
      <c r="A451" s="81" t="s">
        <v>2654</v>
      </c>
      <c r="B451" s="80">
        <v>4</v>
      </c>
      <c r="C451" s="104">
        <v>0.000659599159718808</v>
      </c>
      <c r="D451" s="80" t="s">
        <v>3370</v>
      </c>
      <c r="E451" s="80" t="b">
        <v>0</v>
      </c>
      <c r="F451" s="80" t="b">
        <v>0</v>
      </c>
      <c r="G451" s="80" t="b">
        <v>0</v>
      </c>
    </row>
    <row r="452" spans="1:7" ht="15">
      <c r="A452" s="81" t="s">
        <v>2655</v>
      </c>
      <c r="B452" s="80">
        <v>4</v>
      </c>
      <c r="C452" s="104">
        <v>0.0008034605674435303</v>
      </c>
      <c r="D452" s="80" t="s">
        <v>3370</v>
      </c>
      <c r="E452" s="80" t="b">
        <v>0</v>
      </c>
      <c r="F452" s="80" t="b">
        <v>0</v>
      </c>
      <c r="G452" s="80" t="b">
        <v>0</v>
      </c>
    </row>
    <row r="453" spans="1:7" ht="15">
      <c r="A453" s="81" t="s">
        <v>2656</v>
      </c>
      <c r="B453" s="80">
        <v>4</v>
      </c>
      <c r="C453" s="104">
        <v>0.000659599159718808</v>
      </c>
      <c r="D453" s="80" t="s">
        <v>3370</v>
      </c>
      <c r="E453" s="80" t="b">
        <v>0</v>
      </c>
      <c r="F453" s="80" t="b">
        <v>0</v>
      </c>
      <c r="G453" s="80" t="b">
        <v>0</v>
      </c>
    </row>
    <row r="454" spans="1:7" ht="15">
      <c r="A454" s="81" t="s">
        <v>2657</v>
      </c>
      <c r="B454" s="80">
        <v>4</v>
      </c>
      <c r="C454" s="104">
        <v>0.000659599159718808</v>
      </c>
      <c r="D454" s="80" t="s">
        <v>3370</v>
      </c>
      <c r="E454" s="80" t="b">
        <v>0</v>
      </c>
      <c r="F454" s="80" t="b">
        <v>0</v>
      </c>
      <c r="G454" s="80" t="b">
        <v>0</v>
      </c>
    </row>
    <row r="455" spans="1:7" ht="15">
      <c r="A455" s="81" t="s">
        <v>2658</v>
      </c>
      <c r="B455" s="80">
        <v>4</v>
      </c>
      <c r="C455" s="104">
        <v>0.000659599159718808</v>
      </c>
      <c r="D455" s="80" t="s">
        <v>3370</v>
      </c>
      <c r="E455" s="80" t="b">
        <v>0</v>
      </c>
      <c r="F455" s="80" t="b">
        <v>0</v>
      </c>
      <c r="G455" s="80" t="b">
        <v>0</v>
      </c>
    </row>
    <row r="456" spans="1:7" ht="15">
      <c r="A456" s="81" t="s">
        <v>2659</v>
      </c>
      <c r="B456" s="80">
        <v>4</v>
      </c>
      <c r="C456" s="104">
        <v>0.000719307038623611</v>
      </c>
      <c r="D456" s="80" t="s">
        <v>3370</v>
      </c>
      <c r="E456" s="80" t="b">
        <v>0</v>
      </c>
      <c r="F456" s="80" t="b">
        <v>0</v>
      </c>
      <c r="G456" s="80" t="b">
        <v>0</v>
      </c>
    </row>
    <row r="457" spans="1:7" ht="15">
      <c r="A457" s="81" t="s">
        <v>2660</v>
      </c>
      <c r="B457" s="80">
        <v>4</v>
      </c>
      <c r="C457" s="104">
        <v>0.000719307038623611</v>
      </c>
      <c r="D457" s="80" t="s">
        <v>3370</v>
      </c>
      <c r="E457" s="80" t="b">
        <v>1</v>
      </c>
      <c r="F457" s="80" t="b">
        <v>0</v>
      </c>
      <c r="G457" s="80" t="b">
        <v>0</v>
      </c>
    </row>
    <row r="458" spans="1:7" ht="15">
      <c r="A458" s="81" t="s">
        <v>2661</v>
      </c>
      <c r="B458" s="80">
        <v>4</v>
      </c>
      <c r="C458" s="104">
        <v>0.000659599159718808</v>
      </c>
      <c r="D458" s="80" t="s">
        <v>3370</v>
      </c>
      <c r="E458" s="80" t="b">
        <v>0</v>
      </c>
      <c r="F458" s="80" t="b">
        <v>0</v>
      </c>
      <c r="G458" s="80" t="b">
        <v>0</v>
      </c>
    </row>
    <row r="459" spans="1:7" ht="15">
      <c r="A459" s="81" t="s">
        <v>2662</v>
      </c>
      <c r="B459" s="80">
        <v>4</v>
      </c>
      <c r="C459" s="104">
        <v>0.000719307038623611</v>
      </c>
      <c r="D459" s="80" t="s">
        <v>3370</v>
      </c>
      <c r="E459" s="80" t="b">
        <v>0</v>
      </c>
      <c r="F459" s="80" t="b">
        <v>0</v>
      </c>
      <c r="G459" s="80" t="b">
        <v>0</v>
      </c>
    </row>
    <row r="460" spans="1:7" ht="15">
      <c r="A460" s="81" t="s">
        <v>2663</v>
      </c>
      <c r="B460" s="80">
        <v>4</v>
      </c>
      <c r="C460" s="104">
        <v>0.000659599159718808</v>
      </c>
      <c r="D460" s="80" t="s">
        <v>3370</v>
      </c>
      <c r="E460" s="80" t="b">
        <v>0</v>
      </c>
      <c r="F460" s="80" t="b">
        <v>0</v>
      </c>
      <c r="G460" s="80" t="b">
        <v>0</v>
      </c>
    </row>
    <row r="461" spans="1:7" ht="15">
      <c r="A461" s="81" t="s">
        <v>2664</v>
      </c>
      <c r="B461" s="80">
        <v>4</v>
      </c>
      <c r="C461" s="104">
        <v>0.000659599159718808</v>
      </c>
      <c r="D461" s="80" t="s">
        <v>3370</v>
      </c>
      <c r="E461" s="80" t="b">
        <v>0</v>
      </c>
      <c r="F461" s="80" t="b">
        <v>0</v>
      </c>
      <c r="G461" s="80" t="b">
        <v>0</v>
      </c>
    </row>
    <row r="462" spans="1:7" ht="15">
      <c r="A462" s="81" t="s">
        <v>2665</v>
      </c>
      <c r="B462" s="80">
        <v>4</v>
      </c>
      <c r="C462" s="104">
        <v>0.0009473219751682525</v>
      </c>
      <c r="D462" s="80" t="s">
        <v>3370</v>
      </c>
      <c r="E462" s="80" t="b">
        <v>0</v>
      </c>
      <c r="F462" s="80" t="b">
        <v>0</v>
      </c>
      <c r="G462" s="80" t="b">
        <v>0</v>
      </c>
    </row>
    <row r="463" spans="1:7" ht="15">
      <c r="A463" s="81" t="s">
        <v>2666</v>
      </c>
      <c r="B463" s="80">
        <v>4</v>
      </c>
      <c r="C463" s="104">
        <v>0.000719307038623611</v>
      </c>
      <c r="D463" s="80" t="s">
        <v>3370</v>
      </c>
      <c r="E463" s="80" t="b">
        <v>0</v>
      </c>
      <c r="F463" s="80" t="b">
        <v>0</v>
      </c>
      <c r="G463" s="80" t="b">
        <v>0</v>
      </c>
    </row>
    <row r="464" spans="1:7" ht="15">
      <c r="A464" s="81" t="s">
        <v>2667</v>
      </c>
      <c r="B464" s="80">
        <v>4</v>
      </c>
      <c r="C464" s="104">
        <v>0.0008034605674435303</v>
      </c>
      <c r="D464" s="80" t="s">
        <v>3370</v>
      </c>
      <c r="E464" s="80" t="b">
        <v>0</v>
      </c>
      <c r="F464" s="80" t="b">
        <v>0</v>
      </c>
      <c r="G464" s="80" t="b">
        <v>0</v>
      </c>
    </row>
    <row r="465" spans="1:7" ht="15">
      <c r="A465" s="81" t="s">
        <v>2668</v>
      </c>
      <c r="B465" s="80">
        <v>4</v>
      </c>
      <c r="C465" s="104">
        <v>0.000659599159718808</v>
      </c>
      <c r="D465" s="80" t="s">
        <v>3370</v>
      </c>
      <c r="E465" s="80" t="b">
        <v>0</v>
      </c>
      <c r="F465" s="80" t="b">
        <v>0</v>
      </c>
      <c r="G465" s="80" t="b">
        <v>0</v>
      </c>
    </row>
    <row r="466" spans="1:7" ht="15">
      <c r="A466" s="81" t="s">
        <v>2669</v>
      </c>
      <c r="B466" s="80">
        <v>4</v>
      </c>
      <c r="C466" s="104">
        <v>0.000659599159718808</v>
      </c>
      <c r="D466" s="80" t="s">
        <v>3370</v>
      </c>
      <c r="E466" s="80" t="b">
        <v>0</v>
      </c>
      <c r="F466" s="80" t="b">
        <v>0</v>
      </c>
      <c r="G466" s="80" t="b">
        <v>0</v>
      </c>
    </row>
    <row r="467" spans="1:7" ht="15">
      <c r="A467" s="81" t="s">
        <v>2670</v>
      </c>
      <c r="B467" s="80">
        <v>4</v>
      </c>
      <c r="C467" s="104">
        <v>0.000659599159718808</v>
      </c>
      <c r="D467" s="80" t="s">
        <v>3370</v>
      </c>
      <c r="E467" s="80" t="b">
        <v>0</v>
      </c>
      <c r="F467" s="80" t="b">
        <v>0</v>
      </c>
      <c r="G467" s="80" t="b">
        <v>0</v>
      </c>
    </row>
    <row r="468" spans="1:7" ht="15">
      <c r="A468" s="81" t="s">
        <v>2671</v>
      </c>
      <c r="B468" s="80">
        <v>4</v>
      </c>
      <c r="C468" s="104">
        <v>0.000659599159718808</v>
      </c>
      <c r="D468" s="80" t="s">
        <v>3370</v>
      </c>
      <c r="E468" s="80" t="b">
        <v>0</v>
      </c>
      <c r="F468" s="80" t="b">
        <v>0</v>
      </c>
      <c r="G468" s="80" t="b">
        <v>0</v>
      </c>
    </row>
    <row r="469" spans="1:7" ht="15">
      <c r="A469" s="81" t="s">
        <v>2672</v>
      </c>
      <c r="B469" s="80">
        <v>4</v>
      </c>
      <c r="C469" s="104">
        <v>0.000659599159718808</v>
      </c>
      <c r="D469" s="80" t="s">
        <v>3370</v>
      </c>
      <c r="E469" s="80" t="b">
        <v>0</v>
      </c>
      <c r="F469" s="80" t="b">
        <v>0</v>
      </c>
      <c r="G469" s="80" t="b">
        <v>0</v>
      </c>
    </row>
    <row r="470" spans="1:7" ht="15">
      <c r="A470" s="81" t="s">
        <v>2673</v>
      </c>
      <c r="B470" s="80">
        <v>4</v>
      </c>
      <c r="C470" s="104">
        <v>0.000659599159718808</v>
      </c>
      <c r="D470" s="80" t="s">
        <v>3370</v>
      </c>
      <c r="E470" s="80" t="b">
        <v>0</v>
      </c>
      <c r="F470" s="80" t="b">
        <v>0</v>
      </c>
      <c r="G470" s="80" t="b">
        <v>0</v>
      </c>
    </row>
    <row r="471" spans="1:7" ht="15">
      <c r="A471" s="81" t="s">
        <v>2674</v>
      </c>
      <c r="B471" s="80">
        <v>4</v>
      </c>
      <c r="C471" s="104">
        <v>0.0009473219751682525</v>
      </c>
      <c r="D471" s="80" t="s">
        <v>3370</v>
      </c>
      <c r="E471" s="80" t="b">
        <v>0</v>
      </c>
      <c r="F471" s="80" t="b">
        <v>0</v>
      </c>
      <c r="G471" s="80" t="b">
        <v>0</v>
      </c>
    </row>
    <row r="472" spans="1:7" ht="15">
      <c r="A472" s="81" t="s">
        <v>2675</v>
      </c>
      <c r="B472" s="80">
        <v>4</v>
      </c>
      <c r="C472" s="104">
        <v>0.0009473219751682525</v>
      </c>
      <c r="D472" s="80" t="s">
        <v>3370</v>
      </c>
      <c r="E472" s="80" t="b">
        <v>0</v>
      </c>
      <c r="F472" s="80" t="b">
        <v>0</v>
      </c>
      <c r="G472" s="80" t="b">
        <v>0</v>
      </c>
    </row>
    <row r="473" spans="1:7" ht="15">
      <c r="A473" s="81" t="s">
        <v>2676</v>
      </c>
      <c r="B473" s="80">
        <v>4</v>
      </c>
      <c r="C473" s="104">
        <v>0.000659599159718808</v>
      </c>
      <c r="D473" s="80" t="s">
        <v>3370</v>
      </c>
      <c r="E473" s="80" t="b">
        <v>0</v>
      </c>
      <c r="F473" s="80" t="b">
        <v>0</v>
      </c>
      <c r="G473" s="80" t="b">
        <v>0</v>
      </c>
    </row>
    <row r="474" spans="1:7" ht="15">
      <c r="A474" s="81" t="s">
        <v>2677</v>
      </c>
      <c r="B474" s="80">
        <v>4</v>
      </c>
      <c r="C474" s="104">
        <v>0.000719307038623611</v>
      </c>
      <c r="D474" s="80" t="s">
        <v>3370</v>
      </c>
      <c r="E474" s="80" t="b">
        <v>0</v>
      </c>
      <c r="F474" s="80" t="b">
        <v>0</v>
      </c>
      <c r="G474" s="80" t="b">
        <v>0</v>
      </c>
    </row>
    <row r="475" spans="1:7" ht="15">
      <c r="A475" s="81" t="s">
        <v>2678</v>
      </c>
      <c r="B475" s="80">
        <v>4</v>
      </c>
      <c r="C475" s="104">
        <v>0.000659599159718808</v>
      </c>
      <c r="D475" s="80" t="s">
        <v>3370</v>
      </c>
      <c r="E475" s="80" t="b">
        <v>0</v>
      </c>
      <c r="F475" s="80" t="b">
        <v>0</v>
      </c>
      <c r="G475" s="80" t="b">
        <v>0</v>
      </c>
    </row>
    <row r="476" spans="1:7" ht="15">
      <c r="A476" s="81" t="s">
        <v>2679</v>
      </c>
      <c r="B476" s="80">
        <v>4</v>
      </c>
      <c r="C476" s="104">
        <v>0.0008034605674435303</v>
      </c>
      <c r="D476" s="80" t="s">
        <v>3370</v>
      </c>
      <c r="E476" s="80" t="b">
        <v>0</v>
      </c>
      <c r="F476" s="80" t="b">
        <v>0</v>
      </c>
      <c r="G476" s="80" t="b">
        <v>0</v>
      </c>
    </row>
    <row r="477" spans="1:7" ht="15">
      <c r="A477" s="81" t="s">
        <v>2680</v>
      </c>
      <c r="B477" s="80">
        <v>4</v>
      </c>
      <c r="C477" s="104">
        <v>0.000719307038623611</v>
      </c>
      <c r="D477" s="80" t="s">
        <v>3370</v>
      </c>
      <c r="E477" s="80" t="b">
        <v>0</v>
      </c>
      <c r="F477" s="80" t="b">
        <v>0</v>
      </c>
      <c r="G477" s="80" t="b">
        <v>0</v>
      </c>
    </row>
    <row r="478" spans="1:7" ht="15">
      <c r="A478" s="81" t="s">
        <v>2681</v>
      </c>
      <c r="B478" s="80">
        <v>4</v>
      </c>
      <c r="C478" s="104">
        <v>0.000659599159718808</v>
      </c>
      <c r="D478" s="80" t="s">
        <v>3370</v>
      </c>
      <c r="E478" s="80" t="b">
        <v>0</v>
      </c>
      <c r="F478" s="80" t="b">
        <v>0</v>
      </c>
      <c r="G478" s="80" t="b">
        <v>0</v>
      </c>
    </row>
    <row r="479" spans="1:7" ht="15">
      <c r="A479" s="81" t="s">
        <v>2682</v>
      </c>
      <c r="B479" s="80">
        <v>4</v>
      </c>
      <c r="C479" s="104">
        <v>0.000659599159718808</v>
      </c>
      <c r="D479" s="80" t="s">
        <v>3370</v>
      </c>
      <c r="E479" s="80" t="b">
        <v>0</v>
      </c>
      <c r="F479" s="80" t="b">
        <v>0</v>
      </c>
      <c r="G479" s="80" t="b">
        <v>0</v>
      </c>
    </row>
    <row r="480" spans="1:7" ht="15">
      <c r="A480" s="81" t="s">
        <v>2683</v>
      </c>
      <c r="B480" s="80">
        <v>3</v>
      </c>
      <c r="C480" s="104">
        <v>0.0007104914813761894</v>
      </c>
      <c r="D480" s="80" t="s">
        <v>3370</v>
      </c>
      <c r="E480" s="80" t="b">
        <v>0</v>
      </c>
      <c r="F480" s="80" t="b">
        <v>0</v>
      </c>
      <c r="G480" s="80" t="b">
        <v>0</v>
      </c>
    </row>
    <row r="481" spans="1:7" ht="15">
      <c r="A481" s="81" t="s">
        <v>2684</v>
      </c>
      <c r="B481" s="80">
        <v>3</v>
      </c>
      <c r="C481" s="104">
        <v>0.0006025954255826477</v>
      </c>
      <c r="D481" s="80" t="s">
        <v>3370</v>
      </c>
      <c r="E481" s="80" t="b">
        <v>0</v>
      </c>
      <c r="F481" s="80" t="b">
        <v>0</v>
      </c>
      <c r="G481" s="80" t="b">
        <v>0</v>
      </c>
    </row>
    <row r="482" spans="1:7" ht="15">
      <c r="A482" s="81" t="s">
        <v>2685</v>
      </c>
      <c r="B482" s="80">
        <v>3</v>
      </c>
      <c r="C482" s="104">
        <v>0.0005394802789677083</v>
      </c>
      <c r="D482" s="80" t="s">
        <v>3370</v>
      </c>
      <c r="E482" s="80" t="b">
        <v>0</v>
      </c>
      <c r="F482" s="80" t="b">
        <v>0</v>
      </c>
      <c r="G482" s="80" t="b">
        <v>0</v>
      </c>
    </row>
    <row r="483" spans="1:7" ht="15">
      <c r="A483" s="81" t="s">
        <v>2686</v>
      </c>
      <c r="B483" s="80">
        <v>3</v>
      </c>
      <c r="C483" s="104">
        <v>0.0007104914813761894</v>
      </c>
      <c r="D483" s="80" t="s">
        <v>3370</v>
      </c>
      <c r="E483" s="80" t="b">
        <v>0</v>
      </c>
      <c r="F483" s="80" t="b">
        <v>0</v>
      </c>
      <c r="G483" s="80" t="b">
        <v>0</v>
      </c>
    </row>
    <row r="484" spans="1:7" ht="15">
      <c r="A484" s="81" t="s">
        <v>2687</v>
      </c>
      <c r="B484" s="80">
        <v>3</v>
      </c>
      <c r="C484" s="104">
        <v>0.0005394802789677083</v>
      </c>
      <c r="D484" s="80" t="s">
        <v>3370</v>
      </c>
      <c r="E484" s="80" t="b">
        <v>0</v>
      </c>
      <c r="F484" s="80" t="b">
        <v>0</v>
      </c>
      <c r="G484" s="80" t="b">
        <v>0</v>
      </c>
    </row>
    <row r="485" spans="1:7" ht="15">
      <c r="A485" s="81" t="s">
        <v>2688</v>
      </c>
      <c r="B485" s="80">
        <v>3</v>
      </c>
      <c r="C485" s="104">
        <v>0.0006025954255826477</v>
      </c>
      <c r="D485" s="80" t="s">
        <v>3370</v>
      </c>
      <c r="E485" s="80" t="b">
        <v>0</v>
      </c>
      <c r="F485" s="80" t="b">
        <v>0</v>
      </c>
      <c r="G485" s="80" t="b">
        <v>0</v>
      </c>
    </row>
    <row r="486" spans="1:7" ht="15">
      <c r="A486" s="81" t="s">
        <v>2689</v>
      </c>
      <c r="B486" s="80">
        <v>3</v>
      </c>
      <c r="C486" s="104">
        <v>0.0006025954255826477</v>
      </c>
      <c r="D486" s="80" t="s">
        <v>3370</v>
      </c>
      <c r="E486" s="80" t="b">
        <v>0</v>
      </c>
      <c r="F486" s="80" t="b">
        <v>0</v>
      </c>
      <c r="G486" s="80" t="b">
        <v>0</v>
      </c>
    </row>
    <row r="487" spans="1:7" ht="15">
      <c r="A487" s="81" t="s">
        <v>2690</v>
      </c>
      <c r="B487" s="80">
        <v>3</v>
      </c>
      <c r="C487" s="104">
        <v>0.0005394802789677083</v>
      </c>
      <c r="D487" s="80" t="s">
        <v>3370</v>
      </c>
      <c r="E487" s="80" t="b">
        <v>0</v>
      </c>
      <c r="F487" s="80" t="b">
        <v>0</v>
      </c>
      <c r="G487" s="80" t="b">
        <v>0</v>
      </c>
    </row>
    <row r="488" spans="1:7" ht="15">
      <c r="A488" s="81" t="s">
        <v>2691</v>
      </c>
      <c r="B488" s="80">
        <v>3</v>
      </c>
      <c r="C488" s="104">
        <v>0.0005394802789677083</v>
      </c>
      <c r="D488" s="80" t="s">
        <v>3370</v>
      </c>
      <c r="E488" s="80" t="b">
        <v>0</v>
      </c>
      <c r="F488" s="80" t="b">
        <v>0</v>
      </c>
      <c r="G488" s="80" t="b">
        <v>0</v>
      </c>
    </row>
    <row r="489" spans="1:7" ht="15">
      <c r="A489" s="81" t="s">
        <v>2692</v>
      </c>
      <c r="B489" s="80">
        <v>3</v>
      </c>
      <c r="C489" s="104">
        <v>0.0006025954255826477</v>
      </c>
      <c r="D489" s="80" t="s">
        <v>3370</v>
      </c>
      <c r="E489" s="80" t="b">
        <v>0</v>
      </c>
      <c r="F489" s="80" t="b">
        <v>0</v>
      </c>
      <c r="G489" s="80" t="b">
        <v>0</v>
      </c>
    </row>
    <row r="490" spans="1:7" ht="15">
      <c r="A490" s="81" t="s">
        <v>2693</v>
      </c>
      <c r="B490" s="80">
        <v>3</v>
      </c>
      <c r="C490" s="104">
        <v>0.0006025954255826477</v>
      </c>
      <c r="D490" s="80" t="s">
        <v>3370</v>
      </c>
      <c r="E490" s="80" t="b">
        <v>0</v>
      </c>
      <c r="F490" s="80" t="b">
        <v>0</v>
      </c>
      <c r="G490" s="80" t="b">
        <v>0</v>
      </c>
    </row>
    <row r="491" spans="1:7" ht="15">
      <c r="A491" s="81" t="s">
        <v>2694</v>
      </c>
      <c r="B491" s="80">
        <v>3</v>
      </c>
      <c r="C491" s="104">
        <v>0.0006025954255826477</v>
      </c>
      <c r="D491" s="80" t="s">
        <v>3370</v>
      </c>
      <c r="E491" s="80" t="b">
        <v>0</v>
      </c>
      <c r="F491" s="80" t="b">
        <v>0</v>
      </c>
      <c r="G491" s="80" t="b">
        <v>0</v>
      </c>
    </row>
    <row r="492" spans="1:7" ht="15">
      <c r="A492" s="81" t="s">
        <v>2695</v>
      </c>
      <c r="B492" s="80">
        <v>3</v>
      </c>
      <c r="C492" s="104">
        <v>0.0006025954255826477</v>
      </c>
      <c r="D492" s="80" t="s">
        <v>3370</v>
      </c>
      <c r="E492" s="80" t="b">
        <v>0</v>
      </c>
      <c r="F492" s="80" t="b">
        <v>0</v>
      </c>
      <c r="G492" s="80" t="b">
        <v>0</v>
      </c>
    </row>
    <row r="493" spans="1:7" ht="15">
      <c r="A493" s="81" t="s">
        <v>2696</v>
      </c>
      <c r="B493" s="80">
        <v>3</v>
      </c>
      <c r="C493" s="104">
        <v>0.0005394802789677083</v>
      </c>
      <c r="D493" s="80" t="s">
        <v>3370</v>
      </c>
      <c r="E493" s="80" t="b">
        <v>0</v>
      </c>
      <c r="F493" s="80" t="b">
        <v>0</v>
      </c>
      <c r="G493" s="80" t="b">
        <v>0</v>
      </c>
    </row>
    <row r="494" spans="1:7" ht="15">
      <c r="A494" s="81" t="s">
        <v>2697</v>
      </c>
      <c r="B494" s="80">
        <v>3</v>
      </c>
      <c r="C494" s="104">
        <v>0.0006025954255826477</v>
      </c>
      <c r="D494" s="80" t="s">
        <v>3370</v>
      </c>
      <c r="E494" s="80" t="b">
        <v>0</v>
      </c>
      <c r="F494" s="80" t="b">
        <v>0</v>
      </c>
      <c r="G494" s="80" t="b">
        <v>0</v>
      </c>
    </row>
    <row r="495" spans="1:7" ht="15">
      <c r="A495" s="81" t="s">
        <v>2698</v>
      </c>
      <c r="B495" s="80">
        <v>3</v>
      </c>
      <c r="C495" s="104">
        <v>0.0007104914813761894</v>
      </c>
      <c r="D495" s="80" t="s">
        <v>3370</v>
      </c>
      <c r="E495" s="80" t="b">
        <v>0</v>
      </c>
      <c r="F495" s="80" t="b">
        <v>0</v>
      </c>
      <c r="G495" s="80" t="b">
        <v>0</v>
      </c>
    </row>
    <row r="496" spans="1:7" ht="15">
      <c r="A496" s="81" t="s">
        <v>2699</v>
      </c>
      <c r="B496" s="80">
        <v>3</v>
      </c>
      <c r="C496" s="104">
        <v>0.0005394802789677083</v>
      </c>
      <c r="D496" s="80" t="s">
        <v>3370</v>
      </c>
      <c r="E496" s="80" t="b">
        <v>0</v>
      </c>
      <c r="F496" s="80" t="b">
        <v>0</v>
      </c>
      <c r="G496" s="80" t="b">
        <v>0</v>
      </c>
    </row>
    <row r="497" spans="1:7" ht="15">
      <c r="A497" s="81" t="s">
        <v>2700</v>
      </c>
      <c r="B497" s="80">
        <v>3</v>
      </c>
      <c r="C497" s="104">
        <v>0.0005394802789677083</v>
      </c>
      <c r="D497" s="80" t="s">
        <v>3370</v>
      </c>
      <c r="E497" s="80" t="b">
        <v>0</v>
      </c>
      <c r="F497" s="80" t="b">
        <v>0</v>
      </c>
      <c r="G497" s="80" t="b">
        <v>0</v>
      </c>
    </row>
    <row r="498" spans="1:7" ht="15">
      <c r="A498" s="81" t="s">
        <v>2701</v>
      </c>
      <c r="B498" s="80">
        <v>3</v>
      </c>
      <c r="C498" s="104">
        <v>0.0005394802789677083</v>
      </c>
      <c r="D498" s="80" t="s">
        <v>3370</v>
      </c>
      <c r="E498" s="80" t="b">
        <v>0</v>
      </c>
      <c r="F498" s="80" t="b">
        <v>0</v>
      </c>
      <c r="G498" s="80" t="b">
        <v>0</v>
      </c>
    </row>
    <row r="499" spans="1:7" ht="15">
      <c r="A499" s="81" t="s">
        <v>2702</v>
      </c>
      <c r="B499" s="80">
        <v>3</v>
      </c>
      <c r="C499" s="104">
        <v>0.0005394802789677083</v>
      </c>
      <c r="D499" s="80" t="s">
        <v>3370</v>
      </c>
      <c r="E499" s="80" t="b">
        <v>0</v>
      </c>
      <c r="F499" s="80" t="b">
        <v>0</v>
      </c>
      <c r="G499" s="80" t="b">
        <v>0</v>
      </c>
    </row>
    <row r="500" spans="1:7" ht="15">
      <c r="A500" s="81" t="s">
        <v>2703</v>
      </c>
      <c r="B500" s="80">
        <v>3</v>
      </c>
      <c r="C500" s="104">
        <v>0.0005394802789677083</v>
      </c>
      <c r="D500" s="80" t="s">
        <v>3370</v>
      </c>
      <c r="E500" s="80" t="b">
        <v>1</v>
      </c>
      <c r="F500" s="80" t="b">
        <v>0</v>
      </c>
      <c r="G500" s="80" t="b">
        <v>0</v>
      </c>
    </row>
    <row r="501" spans="1:7" ht="15">
      <c r="A501" s="81" t="s">
        <v>2704</v>
      </c>
      <c r="B501" s="80">
        <v>3</v>
      </c>
      <c r="C501" s="104">
        <v>0.0006025954255826477</v>
      </c>
      <c r="D501" s="80" t="s">
        <v>3370</v>
      </c>
      <c r="E501" s="80" t="b">
        <v>0</v>
      </c>
      <c r="F501" s="80" t="b">
        <v>0</v>
      </c>
      <c r="G501" s="80" t="b">
        <v>0</v>
      </c>
    </row>
    <row r="502" spans="1:7" ht="15">
      <c r="A502" s="81" t="s">
        <v>2705</v>
      </c>
      <c r="B502" s="80">
        <v>3</v>
      </c>
      <c r="C502" s="104">
        <v>0.0005394802789677083</v>
      </c>
      <c r="D502" s="80" t="s">
        <v>3370</v>
      </c>
      <c r="E502" s="80" t="b">
        <v>0</v>
      </c>
      <c r="F502" s="80" t="b">
        <v>0</v>
      </c>
      <c r="G502" s="80" t="b">
        <v>0</v>
      </c>
    </row>
    <row r="503" spans="1:7" ht="15">
      <c r="A503" s="81" t="s">
        <v>2706</v>
      </c>
      <c r="B503" s="80">
        <v>3</v>
      </c>
      <c r="C503" s="104">
        <v>0.0005394802789677083</v>
      </c>
      <c r="D503" s="80" t="s">
        <v>3370</v>
      </c>
      <c r="E503" s="80" t="b">
        <v>0</v>
      </c>
      <c r="F503" s="80" t="b">
        <v>0</v>
      </c>
      <c r="G503" s="80" t="b">
        <v>0</v>
      </c>
    </row>
    <row r="504" spans="1:7" ht="15">
      <c r="A504" s="81" t="s">
        <v>2707</v>
      </c>
      <c r="B504" s="80">
        <v>3</v>
      </c>
      <c r="C504" s="104">
        <v>0.0005394802789677083</v>
      </c>
      <c r="D504" s="80" t="s">
        <v>3370</v>
      </c>
      <c r="E504" s="80" t="b">
        <v>1</v>
      </c>
      <c r="F504" s="80" t="b">
        <v>0</v>
      </c>
      <c r="G504" s="80" t="b">
        <v>0</v>
      </c>
    </row>
    <row r="505" spans="1:7" ht="15">
      <c r="A505" s="81" t="s">
        <v>2708</v>
      </c>
      <c r="B505" s="80">
        <v>3</v>
      </c>
      <c r="C505" s="104">
        <v>0.0005394802789677083</v>
      </c>
      <c r="D505" s="80" t="s">
        <v>3370</v>
      </c>
      <c r="E505" s="80" t="b">
        <v>0</v>
      </c>
      <c r="F505" s="80" t="b">
        <v>0</v>
      </c>
      <c r="G505" s="80" t="b">
        <v>0</v>
      </c>
    </row>
    <row r="506" spans="1:7" ht="15">
      <c r="A506" s="81" t="s">
        <v>2709</v>
      </c>
      <c r="B506" s="80">
        <v>3</v>
      </c>
      <c r="C506" s="104">
        <v>0.0005394802789677083</v>
      </c>
      <c r="D506" s="80" t="s">
        <v>3370</v>
      </c>
      <c r="E506" s="80" t="b">
        <v>0</v>
      </c>
      <c r="F506" s="80" t="b">
        <v>0</v>
      </c>
      <c r="G506" s="80" t="b">
        <v>0</v>
      </c>
    </row>
    <row r="507" spans="1:7" ht="15">
      <c r="A507" s="81" t="s">
        <v>2710</v>
      </c>
      <c r="B507" s="80">
        <v>3</v>
      </c>
      <c r="C507" s="104">
        <v>0.0005394802789677083</v>
      </c>
      <c r="D507" s="80" t="s">
        <v>3370</v>
      </c>
      <c r="E507" s="80" t="b">
        <v>0</v>
      </c>
      <c r="F507" s="80" t="b">
        <v>0</v>
      </c>
      <c r="G507" s="80" t="b">
        <v>0</v>
      </c>
    </row>
    <row r="508" spans="1:7" ht="15">
      <c r="A508" s="81" t="s">
        <v>2711</v>
      </c>
      <c r="B508" s="80">
        <v>3</v>
      </c>
      <c r="C508" s="104">
        <v>0.0005394802789677083</v>
      </c>
      <c r="D508" s="80" t="s">
        <v>3370</v>
      </c>
      <c r="E508" s="80" t="b">
        <v>0</v>
      </c>
      <c r="F508" s="80" t="b">
        <v>0</v>
      </c>
      <c r="G508" s="80" t="b">
        <v>0</v>
      </c>
    </row>
    <row r="509" spans="1:7" ht="15">
      <c r="A509" s="81" t="s">
        <v>2712</v>
      </c>
      <c r="B509" s="80">
        <v>3</v>
      </c>
      <c r="C509" s="104">
        <v>0.0005394802789677083</v>
      </c>
      <c r="D509" s="80" t="s">
        <v>3370</v>
      </c>
      <c r="E509" s="80" t="b">
        <v>0</v>
      </c>
      <c r="F509" s="80" t="b">
        <v>0</v>
      </c>
      <c r="G509" s="80" t="b">
        <v>0</v>
      </c>
    </row>
    <row r="510" spans="1:7" ht="15">
      <c r="A510" s="81" t="s">
        <v>2713</v>
      </c>
      <c r="B510" s="80">
        <v>3</v>
      </c>
      <c r="C510" s="104">
        <v>0.0006025954255826477</v>
      </c>
      <c r="D510" s="80" t="s">
        <v>3370</v>
      </c>
      <c r="E510" s="80" t="b">
        <v>0</v>
      </c>
      <c r="F510" s="80" t="b">
        <v>0</v>
      </c>
      <c r="G510" s="80" t="b">
        <v>0</v>
      </c>
    </row>
    <row r="511" spans="1:7" ht="15">
      <c r="A511" s="81" t="s">
        <v>2714</v>
      </c>
      <c r="B511" s="80">
        <v>3</v>
      </c>
      <c r="C511" s="104">
        <v>0.0005394802789677083</v>
      </c>
      <c r="D511" s="80" t="s">
        <v>3370</v>
      </c>
      <c r="E511" s="80" t="b">
        <v>0</v>
      </c>
      <c r="F511" s="80" t="b">
        <v>0</v>
      </c>
      <c r="G511" s="80" t="b">
        <v>0</v>
      </c>
    </row>
    <row r="512" spans="1:7" ht="15">
      <c r="A512" s="81" t="s">
        <v>2715</v>
      </c>
      <c r="B512" s="80">
        <v>3</v>
      </c>
      <c r="C512" s="104">
        <v>0.0005394802789677083</v>
      </c>
      <c r="D512" s="80" t="s">
        <v>3370</v>
      </c>
      <c r="E512" s="80" t="b">
        <v>0</v>
      </c>
      <c r="F512" s="80" t="b">
        <v>0</v>
      </c>
      <c r="G512" s="80" t="b">
        <v>0</v>
      </c>
    </row>
    <row r="513" spans="1:7" ht="15">
      <c r="A513" s="81" t="s">
        <v>2716</v>
      </c>
      <c r="B513" s="80">
        <v>3</v>
      </c>
      <c r="C513" s="104">
        <v>0.0007104914813761894</v>
      </c>
      <c r="D513" s="80" t="s">
        <v>3370</v>
      </c>
      <c r="E513" s="80" t="b">
        <v>0</v>
      </c>
      <c r="F513" s="80" t="b">
        <v>0</v>
      </c>
      <c r="G513" s="80" t="b">
        <v>0</v>
      </c>
    </row>
    <row r="514" spans="1:7" ht="15">
      <c r="A514" s="81" t="s">
        <v>2717</v>
      </c>
      <c r="B514" s="80">
        <v>3</v>
      </c>
      <c r="C514" s="104">
        <v>0.0005394802789677083</v>
      </c>
      <c r="D514" s="80" t="s">
        <v>3370</v>
      </c>
      <c r="E514" s="80" t="b">
        <v>0</v>
      </c>
      <c r="F514" s="80" t="b">
        <v>0</v>
      </c>
      <c r="G514" s="80" t="b">
        <v>0</v>
      </c>
    </row>
    <row r="515" spans="1:7" ht="15">
      <c r="A515" s="81" t="s">
        <v>2718</v>
      </c>
      <c r="B515" s="80">
        <v>3</v>
      </c>
      <c r="C515" s="104">
        <v>0.0005394802789677083</v>
      </c>
      <c r="D515" s="80" t="s">
        <v>3370</v>
      </c>
      <c r="E515" s="80" t="b">
        <v>0</v>
      </c>
      <c r="F515" s="80" t="b">
        <v>0</v>
      </c>
      <c r="G515" s="80" t="b">
        <v>0</v>
      </c>
    </row>
    <row r="516" spans="1:7" ht="15">
      <c r="A516" s="81" t="s">
        <v>2719</v>
      </c>
      <c r="B516" s="80">
        <v>3</v>
      </c>
      <c r="C516" s="104">
        <v>0.0005394802789677083</v>
      </c>
      <c r="D516" s="80" t="s">
        <v>3370</v>
      </c>
      <c r="E516" s="80" t="b">
        <v>0</v>
      </c>
      <c r="F516" s="80" t="b">
        <v>0</v>
      </c>
      <c r="G516" s="80" t="b">
        <v>0</v>
      </c>
    </row>
    <row r="517" spans="1:7" ht="15">
      <c r="A517" s="81" t="s">
        <v>2720</v>
      </c>
      <c r="B517" s="80">
        <v>3</v>
      </c>
      <c r="C517" s="104">
        <v>0.0006025954255826477</v>
      </c>
      <c r="D517" s="80" t="s">
        <v>3370</v>
      </c>
      <c r="E517" s="80" t="b">
        <v>0</v>
      </c>
      <c r="F517" s="80" t="b">
        <v>0</v>
      </c>
      <c r="G517" s="80" t="b">
        <v>0</v>
      </c>
    </row>
    <row r="518" spans="1:7" ht="15">
      <c r="A518" s="81" t="s">
        <v>2721</v>
      </c>
      <c r="B518" s="80">
        <v>3</v>
      </c>
      <c r="C518" s="104">
        <v>0.0005394802789677083</v>
      </c>
      <c r="D518" s="80" t="s">
        <v>3370</v>
      </c>
      <c r="E518" s="80" t="b">
        <v>0</v>
      </c>
      <c r="F518" s="80" t="b">
        <v>0</v>
      </c>
      <c r="G518" s="80" t="b">
        <v>0</v>
      </c>
    </row>
    <row r="519" spans="1:7" ht="15">
      <c r="A519" s="81" t="s">
        <v>2722</v>
      </c>
      <c r="B519" s="80">
        <v>3</v>
      </c>
      <c r="C519" s="104">
        <v>0.0006025954255826477</v>
      </c>
      <c r="D519" s="80" t="s">
        <v>3370</v>
      </c>
      <c r="E519" s="80" t="b">
        <v>0</v>
      </c>
      <c r="F519" s="80" t="b">
        <v>0</v>
      </c>
      <c r="G519" s="80" t="b">
        <v>0</v>
      </c>
    </row>
    <row r="520" spans="1:7" ht="15">
      <c r="A520" s="81" t="s">
        <v>2723</v>
      </c>
      <c r="B520" s="80">
        <v>3</v>
      </c>
      <c r="C520" s="104">
        <v>0.0005394802789677083</v>
      </c>
      <c r="D520" s="80" t="s">
        <v>3370</v>
      </c>
      <c r="E520" s="80" t="b">
        <v>0</v>
      </c>
      <c r="F520" s="80" t="b">
        <v>0</v>
      </c>
      <c r="G520" s="80" t="b">
        <v>0</v>
      </c>
    </row>
    <row r="521" spans="1:7" ht="15">
      <c r="A521" s="81" t="s">
        <v>2724</v>
      </c>
      <c r="B521" s="80">
        <v>3</v>
      </c>
      <c r="C521" s="104">
        <v>0.0007104914813761894</v>
      </c>
      <c r="D521" s="80" t="s">
        <v>3370</v>
      </c>
      <c r="E521" s="80" t="b">
        <v>0</v>
      </c>
      <c r="F521" s="80" t="b">
        <v>0</v>
      </c>
      <c r="G521" s="80" t="b">
        <v>0</v>
      </c>
    </row>
    <row r="522" spans="1:7" ht="15">
      <c r="A522" s="81" t="s">
        <v>2725</v>
      </c>
      <c r="B522" s="80">
        <v>3</v>
      </c>
      <c r="C522" s="104">
        <v>0.0005394802789677083</v>
      </c>
      <c r="D522" s="80" t="s">
        <v>3370</v>
      </c>
      <c r="E522" s="80" t="b">
        <v>0</v>
      </c>
      <c r="F522" s="80" t="b">
        <v>0</v>
      </c>
      <c r="G522" s="80" t="b">
        <v>0</v>
      </c>
    </row>
    <row r="523" spans="1:7" ht="15">
      <c r="A523" s="81" t="s">
        <v>2726</v>
      </c>
      <c r="B523" s="80">
        <v>3</v>
      </c>
      <c r="C523" s="104">
        <v>0.0005394802789677083</v>
      </c>
      <c r="D523" s="80" t="s">
        <v>3370</v>
      </c>
      <c r="E523" s="80" t="b">
        <v>0</v>
      </c>
      <c r="F523" s="80" t="b">
        <v>0</v>
      </c>
      <c r="G523" s="80" t="b">
        <v>0</v>
      </c>
    </row>
    <row r="524" spans="1:7" ht="15">
      <c r="A524" s="81" t="s">
        <v>2727</v>
      </c>
      <c r="B524" s="80">
        <v>3</v>
      </c>
      <c r="C524" s="104">
        <v>0.0005394802789677083</v>
      </c>
      <c r="D524" s="80" t="s">
        <v>3370</v>
      </c>
      <c r="E524" s="80" t="b">
        <v>0</v>
      </c>
      <c r="F524" s="80" t="b">
        <v>0</v>
      </c>
      <c r="G524" s="80" t="b">
        <v>0</v>
      </c>
    </row>
    <row r="525" spans="1:7" ht="15">
      <c r="A525" s="81" t="s">
        <v>2728</v>
      </c>
      <c r="B525" s="80">
        <v>3</v>
      </c>
      <c r="C525" s="104">
        <v>0.0005394802789677083</v>
      </c>
      <c r="D525" s="80" t="s">
        <v>3370</v>
      </c>
      <c r="E525" s="80" t="b">
        <v>0</v>
      </c>
      <c r="F525" s="80" t="b">
        <v>0</v>
      </c>
      <c r="G525" s="80" t="b">
        <v>0</v>
      </c>
    </row>
    <row r="526" spans="1:7" ht="15">
      <c r="A526" s="81" t="s">
        <v>2729</v>
      </c>
      <c r="B526" s="80">
        <v>3</v>
      </c>
      <c r="C526" s="104">
        <v>0.0006025954255826477</v>
      </c>
      <c r="D526" s="80" t="s">
        <v>3370</v>
      </c>
      <c r="E526" s="80" t="b">
        <v>1</v>
      </c>
      <c r="F526" s="80" t="b">
        <v>0</v>
      </c>
      <c r="G526" s="80" t="b">
        <v>0</v>
      </c>
    </row>
    <row r="527" spans="1:7" ht="15">
      <c r="A527" s="81" t="s">
        <v>2730</v>
      </c>
      <c r="B527" s="80">
        <v>3</v>
      </c>
      <c r="C527" s="104">
        <v>0.0006025954255826477</v>
      </c>
      <c r="D527" s="80" t="s">
        <v>3370</v>
      </c>
      <c r="E527" s="80" t="b">
        <v>0</v>
      </c>
      <c r="F527" s="80" t="b">
        <v>0</v>
      </c>
      <c r="G527" s="80" t="b">
        <v>0</v>
      </c>
    </row>
    <row r="528" spans="1:7" ht="15">
      <c r="A528" s="81" t="s">
        <v>2731</v>
      </c>
      <c r="B528" s="80">
        <v>3</v>
      </c>
      <c r="C528" s="104">
        <v>0.0005394802789677083</v>
      </c>
      <c r="D528" s="80" t="s">
        <v>3370</v>
      </c>
      <c r="E528" s="80" t="b">
        <v>0</v>
      </c>
      <c r="F528" s="80" t="b">
        <v>0</v>
      </c>
      <c r="G528" s="80" t="b">
        <v>0</v>
      </c>
    </row>
    <row r="529" spans="1:7" ht="15">
      <c r="A529" s="81" t="s">
        <v>2732</v>
      </c>
      <c r="B529" s="80">
        <v>3</v>
      </c>
      <c r="C529" s="104">
        <v>0.0006025954255826477</v>
      </c>
      <c r="D529" s="80" t="s">
        <v>3370</v>
      </c>
      <c r="E529" s="80" t="b">
        <v>0</v>
      </c>
      <c r="F529" s="80" t="b">
        <v>0</v>
      </c>
      <c r="G529" s="80" t="b">
        <v>0</v>
      </c>
    </row>
    <row r="530" spans="1:7" ht="15">
      <c r="A530" s="81" t="s">
        <v>2733</v>
      </c>
      <c r="B530" s="80">
        <v>3</v>
      </c>
      <c r="C530" s="104">
        <v>0.0006025954255826477</v>
      </c>
      <c r="D530" s="80" t="s">
        <v>3370</v>
      </c>
      <c r="E530" s="80" t="b">
        <v>0</v>
      </c>
      <c r="F530" s="80" t="b">
        <v>0</v>
      </c>
      <c r="G530" s="80" t="b">
        <v>0</v>
      </c>
    </row>
    <row r="531" spans="1:7" ht="15">
      <c r="A531" s="81" t="s">
        <v>2734</v>
      </c>
      <c r="B531" s="80">
        <v>3</v>
      </c>
      <c r="C531" s="104">
        <v>0.0005394802789677083</v>
      </c>
      <c r="D531" s="80" t="s">
        <v>3370</v>
      </c>
      <c r="E531" s="80" t="b">
        <v>0</v>
      </c>
      <c r="F531" s="80" t="b">
        <v>0</v>
      </c>
      <c r="G531" s="80" t="b">
        <v>0</v>
      </c>
    </row>
    <row r="532" spans="1:7" ht="15">
      <c r="A532" s="81" t="s">
        <v>2735</v>
      </c>
      <c r="B532" s="80">
        <v>3</v>
      </c>
      <c r="C532" s="104">
        <v>0.0007104914813761894</v>
      </c>
      <c r="D532" s="80" t="s">
        <v>3370</v>
      </c>
      <c r="E532" s="80" t="b">
        <v>0</v>
      </c>
      <c r="F532" s="80" t="b">
        <v>0</v>
      </c>
      <c r="G532" s="80" t="b">
        <v>0</v>
      </c>
    </row>
    <row r="533" spans="1:7" ht="15">
      <c r="A533" s="81" t="s">
        <v>2736</v>
      </c>
      <c r="B533" s="80">
        <v>3</v>
      </c>
      <c r="C533" s="104">
        <v>0.0007104914813761894</v>
      </c>
      <c r="D533" s="80" t="s">
        <v>3370</v>
      </c>
      <c r="E533" s="80" t="b">
        <v>0</v>
      </c>
      <c r="F533" s="80" t="b">
        <v>0</v>
      </c>
      <c r="G533" s="80" t="b">
        <v>0</v>
      </c>
    </row>
    <row r="534" spans="1:7" ht="15">
      <c r="A534" s="81" t="s">
        <v>2737</v>
      </c>
      <c r="B534" s="80">
        <v>3</v>
      </c>
      <c r="C534" s="104">
        <v>0.0006025954255826477</v>
      </c>
      <c r="D534" s="80" t="s">
        <v>3370</v>
      </c>
      <c r="E534" s="80" t="b">
        <v>0</v>
      </c>
      <c r="F534" s="80" t="b">
        <v>0</v>
      </c>
      <c r="G534" s="80" t="b">
        <v>0</v>
      </c>
    </row>
    <row r="535" spans="1:7" ht="15">
      <c r="A535" s="81" t="s">
        <v>2738</v>
      </c>
      <c r="B535" s="80">
        <v>3</v>
      </c>
      <c r="C535" s="104">
        <v>0.0005394802789677083</v>
      </c>
      <c r="D535" s="80" t="s">
        <v>3370</v>
      </c>
      <c r="E535" s="80" t="b">
        <v>0</v>
      </c>
      <c r="F535" s="80" t="b">
        <v>0</v>
      </c>
      <c r="G535" s="80" t="b">
        <v>0</v>
      </c>
    </row>
    <row r="536" spans="1:7" ht="15">
      <c r="A536" s="81" t="s">
        <v>2739</v>
      </c>
      <c r="B536" s="80">
        <v>3</v>
      </c>
      <c r="C536" s="104">
        <v>0.0007104914813761894</v>
      </c>
      <c r="D536" s="80" t="s">
        <v>3370</v>
      </c>
      <c r="E536" s="80" t="b">
        <v>0</v>
      </c>
      <c r="F536" s="80" t="b">
        <v>0</v>
      </c>
      <c r="G536" s="80" t="b">
        <v>0</v>
      </c>
    </row>
    <row r="537" spans="1:7" ht="15">
      <c r="A537" s="81" t="s">
        <v>2740</v>
      </c>
      <c r="B537" s="80">
        <v>3</v>
      </c>
      <c r="C537" s="104">
        <v>0.0005394802789677083</v>
      </c>
      <c r="D537" s="80" t="s">
        <v>3370</v>
      </c>
      <c r="E537" s="80" t="b">
        <v>0</v>
      </c>
      <c r="F537" s="80" t="b">
        <v>0</v>
      </c>
      <c r="G537" s="80" t="b">
        <v>0</v>
      </c>
    </row>
    <row r="538" spans="1:7" ht="15">
      <c r="A538" s="81" t="s">
        <v>2741</v>
      </c>
      <c r="B538" s="80">
        <v>3</v>
      </c>
      <c r="C538" s="104">
        <v>0.0005394802789677083</v>
      </c>
      <c r="D538" s="80" t="s">
        <v>3370</v>
      </c>
      <c r="E538" s="80" t="b">
        <v>0</v>
      </c>
      <c r="F538" s="80" t="b">
        <v>0</v>
      </c>
      <c r="G538" s="80" t="b">
        <v>0</v>
      </c>
    </row>
    <row r="539" spans="1:7" ht="15">
      <c r="A539" s="81" t="s">
        <v>2742</v>
      </c>
      <c r="B539" s="80">
        <v>3</v>
      </c>
      <c r="C539" s="104">
        <v>0.0005394802789677083</v>
      </c>
      <c r="D539" s="80" t="s">
        <v>3370</v>
      </c>
      <c r="E539" s="80" t="b">
        <v>0</v>
      </c>
      <c r="F539" s="80" t="b">
        <v>0</v>
      </c>
      <c r="G539" s="80" t="b">
        <v>0</v>
      </c>
    </row>
    <row r="540" spans="1:7" ht="15">
      <c r="A540" s="81" t="s">
        <v>2743</v>
      </c>
      <c r="B540" s="80">
        <v>3</v>
      </c>
      <c r="C540" s="104">
        <v>0.0007104914813761894</v>
      </c>
      <c r="D540" s="80" t="s">
        <v>3370</v>
      </c>
      <c r="E540" s="80" t="b">
        <v>0</v>
      </c>
      <c r="F540" s="80" t="b">
        <v>0</v>
      </c>
      <c r="G540" s="80" t="b">
        <v>0</v>
      </c>
    </row>
    <row r="541" spans="1:7" ht="15">
      <c r="A541" s="81" t="s">
        <v>2744</v>
      </c>
      <c r="B541" s="80">
        <v>3</v>
      </c>
      <c r="C541" s="104">
        <v>0.0006025954255826477</v>
      </c>
      <c r="D541" s="80" t="s">
        <v>3370</v>
      </c>
      <c r="E541" s="80" t="b">
        <v>0</v>
      </c>
      <c r="F541" s="80" t="b">
        <v>0</v>
      </c>
      <c r="G541" s="80" t="b">
        <v>0</v>
      </c>
    </row>
    <row r="542" spans="1:7" ht="15">
      <c r="A542" s="81" t="s">
        <v>2745</v>
      </c>
      <c r="B542" s="80">
        <v>3</v>
      </c>
      <c r="C542" s="104">
        <v>0.0006025954255826477</v>
      </c>
      <c r="D542" s="80" t="s">
        <v>3370</v>
      </c>
      <c r="E542" s="80" t="b">
        <v>0</v>
      </c>
      <c r="F542" s="80" t="b">
        <v>0</v>
      </c>
      <c r="G542" s="80" t="b">
        <v>0</v>
      </c>
    </row>
    <row r="543" spans="1:7" ht="15">
      <c r="A543" s="81" t="s">
        <v>2746</v>
      </c>
      <c r="B543" s="80">
        <v>3</v>
      </c>
      <c r="C543" s="104">
        <v>0.0006025954255826477</v>
      </c>
      <c r="D543" s="80" t="s">
        <v>3370</v>
      </c>
      <c r="E543" s="80" t="b">
        <v>0</v>
      </c>
      <c r="F543" s="80" t="b">
        <v>0</v>
      </c>
      <c r="G543" s="80" t="b">
        <v>0</v>
      </c>
    </row>
    <row r="544" spans="1:7" ht="15">
      <c r="A544" s="81" t="s">
        <v>2747</v>
      </c>
      <c r="B544" s="80">
        <v>3</v>
      </c>
      <c r="C544" s="104">
        <v>0.0005394802789677083</v>
      </c>
      <c r="D544" s="80" t="s">
        <v>3370</v>
      </c>
      <c r="E544" s="80" t="b">
        <v>0</v>
      </c>
      <c r="F544" s="80" t="b">
        <v>0</v>
      </c>
      <c r="G544" s="80" t="b">
        <v>0</v>
      </c>
    </row>
    <row r="545" spans="1:7" ht="15">
      <c r="A545" s="81" t="s">
        <v>2748</v>
      </c>
      <c r="B545" s="80">
        <v>3</v>
      </c>
      <c r="C545" s="104">
        <v>0.0005394802789677083</v>
      </c>
      <c r="D545" s="80" t="s">
        <v>3370</v>
      </c>
      <c r="E545" s="80" t="b">
        <v>0</v>
      </c>
      <c r="F545" s="80" t="b">
        <v>0</v>
      </c>
      <c r="G545" s="80" t="b">
        <v>0</v>
      </c>
    </row>
    <row r="546" spans="1:7" ht="15">
      <c r="A546" s="81" t="s">
        <v>2749</v>
      </c>
      <c r="B546" s="80">
        <v>3</v>
      </c>
      <c r="C546" s="104">
        <v>0.0005394802789677083</v>
      </c>
      <c r="D546" s="80" t="s">
        <v>3370</v>
      </c>
      <c r="E546" s="80" t="b">
        <v>0</v>
      </c>
      <c r="F546" s="80" t="b">
        <v>0</v>
      </c>
      <c r="G546" s="80" t="b">
        <v>0</v>
      </c>
    </row>
    <row r="547" spans="1:7" ht="15">
      <c r="A547" s="81" t="s">
        <v>2750</v>
      </c>
      <c r="B547" s="80">
        <v>3</v>
      </c>
      <c r="C547" s="104">
        <v>0.0007104914813761894</v>
      </c>
      <c r="D547" s="80" t="s">
        <v>3370</v>
      </c>
      <c r="E547" s="80" t="b">
        <v>0</v>
      </c>
      <c r="F547" s="80" t="b">
        <v>0</v>
      </c>
      <c r="G547" s="80" t="b">
        <v>0</v>
      </c>
    </row>
    <row r="548" spans="1:7" ht="15">
      <c r="A548" s="81" t="s">
        <v>2751</v>
      </c>
      <c r="B548" s="80">
        <v>3</v>
      </c>
      <c r="C548" s="104">
        <v>0.0006025954255826477</v>
      </c>
      <c r="D548" s="80" t="s">
        <v>3370</v>
      </c>
      <c r="E548" s="80" t="b">
        <v>0</v>
      </c>
      <c r="F548" s="80" t="b">
        <v>0</v>
      </c>
      <c r="G548" s="80" t="b">
        <v>0</v>
      </c>
    </row>
    <row r="549" spans="1:7" ht="15">
      <c r="A549" s="81" t="s">
        <v>2752</v>
      </c>
      <c r="B549" s="80">
        <v>3</v>
      </c>
      <c r="C549" s="104">
        <v>0.0005394802789677083</v>
      </c>
      <c r="D549" s="80" t="s">
        <v>3370</v>
      </c>
      <c r="E549" s="80" t="b">
        <v>0</v>
      </c>
      <c r="F549" s="80" t="b">
        <v>0</v>
      </c>
      <c r="G549" s="80" t="b">
        <v>0</v>
      </c>
    </row>
    <row r="550" spans="1:7" ht="15">
      <c r="A550" s="81" t="s">
        <v>2753</v>
      </c>
      <c r="B550" s="80">
        <v>3</v>
      </c>
      <c r="C550" s="104">
        <v>0.0006025954255826477</v>
      </c>
      <c r="D550" s="80" t="s">
        <v>3370</v>
      </c>
      <c r="E550" s="80" t="b">
        <v>0</v>
      </c>
      <c r="F550" s="80" t="b">
        <v>0</v>
      </c>
      <c r="G550" s="80" t="b">
        <v>0</v>
      </c>
    </row>
    <row r="551" spans="1:7" ht="15">
      <c r="A551" s="81" t="s">
        <v>2754</v>
      </c>
      <c r="B551" s="80">
        <v>3</v>
      </c>
      <c r="C551" s="104">
        <v>0.0006025954255826477</v>
      </c>
      <c r="D551" s="80" t="s">
        <v>3370</v>
      </c>
      <c r="E551" s="80" t="b">
        <v>0</v>
      </c>
      <c r="F551" s="80" t="b">
        <v>0</v>
      </c>
      <c r="G551" s="80" t="b">
        <v>0</v>
      </c>
    </row>
    <row r="552" spans="1:7" ht="15">
      <c r="A552" s="81" t="s">
        <v>2755</v>
      </c>
      <c r="B552" s="80">
        <v>3</v>
      </c>
      <c r="C552" s="104">
        <v>0.0006025954255826477</v>
      </c>
      <c r="D552" s="80" t="s">
        <v>3370</v>
      </c>
      <c r="E552" s="80" t="b">
        <v>0</v>
      </c>
      <c r="F552" s="80" t="b">
        <v>0</v>
      </c>
      <c r="G552" s="80" t="b">
        <v>0</v>
      </c>
    </row>
    <row r="553" spans="1:7" ht="15">
      <c r="A553" s="81" t="s">
        <v>2756</v>
      </c>
      <c r="B553" s="80">
        <v>3</v>
      </c>
      <c r="C553" s="104">
        <v>0.0007104914813761894</v>
      </c>
      <c r="D553" s="80" t="s">
        <v>3370</v>
      </c>
      <c r="E553" s="80" t="b">
        <v>0</v>
      </c>
      <c r="F553" s="80" t="b">
        <v>0</v>
      </c>
      <c r="G553" s="80" t="b">
        <v>0</v>
      </c>
    </row>
    <row r="554" spans="1:7" ht="15">
      <c r="A554" s="81" t="s">
        <v>2757</v>
      </c>
      <c r="B554" s="80">
        <v>3</v>
      </c>
      <c r="C554" s="104">
        <v>0.0006025954255826477</v>
      </c>
      <c r="D554" s="80" t="s">
        <v>3370</v>
      </c>
      <c r="E554" s="80" t="b">
        <v>0</v>
      </c>
      <c r="F554" s="80" t="b">
        <v>0</v>
      </c>
      <c r="G554" s="80" t="b">
        <v>0</v>
      </c>
    </row>
    <row r="555" spans="1:7" ht="15">
      <c r="A555" s="81" t="s">
        <v>2758</v>
      </c>
      <c r="B555" s="80">
        <v>3</v>
      </c>
      <c r="C555" s="104">
        <v>0.0005394802789677083</v>
      </c>
      <c r="D555" s="80" t="s">
        <v>3370</v>
      </c>
      <c r="E555" s="80" t="b">
        <v>0</v>
      </c>
      <c r="F555" s="80" t="b">
        <v>0</v>
      </c>
      <c r="G555" s="80" t="b">
        <v>0</v>
      </c>
    </row>
    <row r="556" spans="1:7" ht="15">
      <c r="A556" s="81" t="s">
        <v>2759</v>
      </c>
      <c r="B556" s="80">
        <v>3</v>
      </c>
      <c r="C556" s="104">
        <v>0.0007104914813761894</v>
      </c>
      <c r="D556" s="80" t="s">
        <v>3370</v>
      </c>
      <c r="E556" s="80" t="b">
        <v>0</v>
      </c>
      <c r="F556" s="80" t="b">
        <v>0</v>
      </c>
      <c r="G556" s="80" t="b">
        <v>0</v>
      </c>
    </row>
    <row r="557" spans="1:7" ht="15">
      <c r="A557" s="81" t="s">
        <v>2760</v>
      </c>
      <c r="B557" s="80">
        <v>3</v>
      </c>
      <c r="C557" s="104">
        <v>0.0005394802789677083</v>
      </c>
      <c r="D557" s="80" t="s">
        <v>3370</v>
      </c>
      <c r="E557" s="80" t="b">
        <v>0</v>
      </c>
      <c r="F557" s="80" t="b">
        <v>0</v>
      </c>
      <c r="G557" s="80" t="b">
        <v>0</v>
      </c>
    </row>
    <row r="558" spans="1:7" ht="15">
      <c r="A558" s="81" t="s">
        <v>2761</v>
      </c>
      <c r="B558" s="80">
        <v>3</v>
      </c>
      <c r="C558" s="104">
        <v>0.0007104914813761894</v>
      </c>
      <c r="D558" s="80" t="s">
        <v>3370</v>
      </c>
      <c r="E558" s="80" t="b">
        <v>0</v>
      </c>
      <c r="F558" s="80" t="b">
        <v>0</v>
      </c>
      <c r="G558" s="80" t="b">
        <v>0</v>
      </c>
    </row>
    <row r="559" spans="1:7" ht="15">
      <c r="A559" s="81" t="s">
        <v>2762</v>
      </c>
      <c r="B559" s="80">
        <v>3</v>
      </c>
      <c r="C559" s="104">
        <v>0.0006025954255826477</v>
      </c>
      <c r="D559" s="80" t="s">
        <v>3370</v>
      </c>
      <c r="E559" s="80" t="b">
        <v>0</v>
      </c>
      <c r="F559" s="80" t="b">
        <v>0</v>
      </c>
      <c r="G559" s="80" t="b">
        <v>0</v>
      </c>
    </row>
    <row r="560" spans="1:7" ht="15">
      <c r="A560" s="81" t="s">
        <v>2763</v>
      </c>
      <c r="B560" s="80">
        <v>3</v>
      </c>
      <c r="C560" s="104">
        <v>0.0005394802789677083</v>
      </c>
      <c r="D560" s="80" t="s">
        <v>3370</v>
      </c>
      <c r="E560" s="80" t="b">
        <v>0</v>
      </c>
      <c r="F560" s="80" t="b">
        <v>0</v>
      </c>
      <c r="G560" s="80" t="b">
        <v>0</v>
      </c>
    </row>
    <row r="561" spans="1:7" ht="15">
      <c r="A561" s="81" t="s">
        <v>2764</v>
      </c>
      <c r="B561" s="80">
        <v>3</v>
      </c>
      <c r="C561" s="104">
        <v>0.0005394802789677083</v>
      </c>
      <c r="D561" s="80" t="s">
        <v>3370</v>
      </c>
      <c r="E561" s="80" t="b">
        <v>0</v>
      </c>
      <c r="F561" s="80" t="b">
        <v>0</v>
      </c>
      <c r="G561" s="80" t="b">
        <v>0</v>
      </c>
    </row>
    <row r="562" spans="1:7" ht="15">
      <c r="A562" s="81" t="s">
        <v>2765</v>
      </c>
      <c r="B562" s="80">
        <v>3</v>
      </c>
      <c r="C562" s="104">
        <v>0.0006025954255826477</v>
      </c>
      <c r="D562" s="80" t="s">
        <v>3370</v>
      </c>
      <c r="E562" s="80" t="b">
        <v>0</v>
      </c>
      <c r="F562" s="80" t="b">
        <v>0</v>
      </c>
      <c r="G562" s="80" t="b">
        <v>0</v>
      </c>
    </row>
    <row r="563" spans="1:7" ht="15">
      <c r="A563" s="81" t="s">
        <v>2766</v>
      </c>
      <c r="B563" s="80">
        <v>3</v>
      </c>
      <c r="C563" s="104">
        <v>0.0006025954255826477</v>
      </c>
      <c r="D563" s="80" t="s">
        <v>3370</v>
      </c>
      <c r="E563" s="80" t="b">
        <v>0</v>
      </c>
      <c r="F563" s="80" t="b">
        <v>0</v>
      </c>
      <c r="G563" s="80" t="b">
        <v>0</v>
      </c>
    </row>
    <row r="564" spans="1:7" ht="15">
      <c r="A564" s="81" t="s">
        <v>2767</v>
      </c>
      <c r="B564" s="80">
        <v>3</v>
      </c>
      <c r="C564" s="104">
        <v>0.0005394802789677083</v>
      </c>
      <c r="D564" s="80" t="s">
        <v>3370</v>
      </c>
      <c r="E564" s="80" t="b">
        <v>0</v>
      </c>
      <c r="F564" s="80" t="b">
        <v>0</v>
      </c>
      <c r="G564" s="80" t="b">
        <v>0</v>
      </c>
    </row>
    <row r="565" spans="1:7" ht="15">
      <c r="A565" s="81" t="s">
        <v>2768</v>
      </c>
      <c r="B565" s="80">
        <v>3</v>
      </c>
      <c r="C565" s="104">
        <v>0.0006025954255826477</v>
      </c>
      <c r="D565" s="80" t="s">
        <v>3370</v>
      </c>
      <c r="E565" s="80" t="b">
        <v>0</v>
      </c>
      <c r="F565" s="80" t="b">
        <v>0</v>
      </c>
      <c r="G565" s="80" t="b">
        <v>0</v>
      </c>
    </row>
    <row r="566" spans="1:7" ht="15">
      <c r="A566" s="81" t="s">
        <v>2769</v>
      </c>
      <c r="B566" s="80">
        <v>3</v>
      </c>
      <c r="C566" s="104">
        <v>0.0006025954255826477</v>
      </c>
      <c r="D566" s="80" t="s">
        <v>3370</v>
      </c>
      <c r="E566" s="80" t="b">
        <v>0</v>
      </c>
      <c r="F566" s="80" t="b">
        <v>0</v>
      </c>
      <c r="G566" s="80" t="b">
        <v>0</v>
      </c>
    </row>
    <row r="567" spans="1:7" ht="15">
      <c r="A567" s="81" t="s">
        <v>2770</v>
      </c>
      <c r="B567" s="80">
        <v>3</v>
      </c>
      <c r="C567" s="104">
        <v>0.0005394802789677083</v>
      </c>
      <c r="D567" s="80" t="s">
        <v>3370</v>
      </c>
      <c r="E567" s="80" t="b">
        <v>0</v>
      </c>
      <c r="F567" s="80" t="b">
        <v>0</v>
      </c>
      <c r="G567" s="80" t="b">
        <v>0</v>
      </c>
    </row>
    <row r="568" spans="1:7" ht="15">
      <c r="A568" s="81" t="s">
        <v>2771</v>
      </c>
      <c r="B568" s="80">
        <v>3</v>
      </c>
      <c r="C568" s="104">
        <v>0.0006025954255826477</v>
      </c>
      <c r="D568" s="80" t="s">
        <v>3370</v>
      </c>
      <c r="E568" s="80" t="b">
        <v>0</v>
      </c>
      <c r="F568" s="80" t="b">
        <v>0</v>
      </c>
      <c r="G568" s="80" t="b">
        <v>0</v>
      </c>
    </row>
    <row r="569" spans="1:7" ht="15">
      <c r="A569" s="81" t="s">
        <v>2772</v>
      </c>
      <c r="B569" s="80">
        <v>3</v>
      </c>
      <c r="C569" s="104">
        <v>0.0006025954255826477</v>
      </c>
      <c r="D569" s="80" t="s">
        <v>3370</v>
      </c>
      <c r="E569" s="80" t="b">
        <v>0</v>
      </c>
      <c r="F569" s="80" t="b">
        <v>0</v>
      </c>
      <c r="G569" s="80" t="b">
        <v>0</v>
      </c>
    </row>
    <row r="570" spans="1:7" ht="15">
      <c r="A570" s="81" t="s">
        <v>2773</v>
      </c>
      <c r="B570" s="80">
        <v>3</v>
      </c>
      <c r="C570" s="104">
        <v>0.0005394802789677083</v>
      </c>
      <c r="D570" s="80" t="s">
        <v>3370</v>
      </c>
      <c r="E570" s="80" t="b">
        <v>0</v>
      </c>
      <c r="F570" s="80" t="b">
        <v>0</v>
      </c>
      <c r="G570" s="80" t="b">
        <v>0</v>
      </c>
    </row>
    <row r="571" spans="1:7" ht="15">
      <c r="A571" s="81" t="s">
        <v>2774</v>
      </c>
      <c r="B571" s="80">
        <v>3</v>
      </c>
      <c r="C571" s="104">
        <v>0.0007104914813761894</v>
      </c>
      <c r="D571" s="80" t="s">
        <v>3370</v>
      </c>
      <c r="E571" s="80" t="b">
        <v>0</v>
      </c>
      <c r="F571" s="80" t="b">
        <v>0</v>
      </c>
      <c r="G571" s="80" t="b">
        <v>0</v>
      </c>
    </row>
    <row r="572" spans="1:7" ht="15">
      <c r="A572" s="81" t="s">
        <v>2775</v>
      </c>
      <c r="B572" s="80">
        <v>3</v>
      </c>
      <c r="C572" s="104">
        <v>0.0005394802789677083</v>
      </c>
      <c r="D572" s="80" t="s">
        <v>3370</v>
      </c>
      <c r="E572" s="80" t="b">
        <v>0</v>
      </c>
      <c r="F572" s="80" t="b">
        <v>0</v>
      </c>
      <c r="G572" s="80" t="b">
        <v>0</v>
      </c>
    </row>
    <row r="573" spans="1:7" ht="15">
      <c r="A573" s="81" t="s">
        <v>2776</v>
      </c>
      <c r="B573" s="80">
        <v>3</v>
      </c>
      <c r="C573" s="104">
        <v>0.0006025954255826477</v>
      </c>
      <c r="D573" s="80" t="s">
        <v>3370</v>
      </c>
      <c r="E573" s="80" t="b">
        <v>1</v>
      </c>
      <c r="F573" s="80" t="b">
        <v>0</v>
      </c>
      <c r="G573" s="80" t="b">
        <v>0</v>
      </c>
    </row>
    <row r="574" spans="1:7" ht="15">
      <c r="A574" s="81" t="s">
        <v>2777</v>
      </c>
      <c r="B574" s="80">
        <v>3</v>
      </c>
      <c r="C574" s="104">
        <v>0.0005394802789677083</v>
      </c>
      <c r="D574" s="80" t="s">
        <v>3370</v>
      </c>
      <c r="E574" s="80" t="b">
        <v>0</v>
      </c>
      <c r="F574" s="80" t="b">
        <v>0</v>
      </c>
      <c r="G574" s="80" t="b">
        <v>0</v>
      </c>
    </row>
    <row r="575" spans="1:7" ht="15">
      <c r="A575" s="81" t="s">
        <v>2778</v>
      </c>
      <c r="B575" s="80">
        <v>3</v>
      </c>
      <c r="C575" s="104">
        <v>0.0007104914813761894</v>
      </c>
      <c r="D575" s="80" t="s">
        <v>3370</v>
      </c>
      <c r="E575" s="80" t="b">
        <v>0</v>
      </c>
      <c r="F575" s="80" t="b">
        <v>0</v>
      </c>
      <c r="G575" s="80" t="b">
        <v>0</v>
      </c>
    </row>
    <row r="576" spans="1:7" ht="15">
      <c r="A576" s="81" t="s">
        <v>2779</v>
      </c>
      <c r="B576" s="80">
        <v>3</v>
      </c>
      <c r="C576" s="104">
        <v>0.0005394802789677083</v>
      </c>
      <c r="D576" s="80" t="s">
        <v>3370</v>
      </c>
      <c r="E576" s="80" t="b">
        <v>0</v>
      </c>
      <c r="F576" s="80" t="b">
        <v>1</v>
      </c>
      <c r="G576" s="80" t="b">
        <v>0</v>
      </c>
    </row>
    <row r="577" spans="1:7" ht="15">
      <c r="A577" s="81" t="s">
        <v>2780</v>
      </c>
      <c r="B577" s="80">
        <v>3</v>
      </c>
      <c r="C577" s="104">
        <v>0.0006025954255826477</v>
      </c>
      <c r="D577" s="80" t="s">
        <v>3370</v>
      </c>
      <c r="E577" s="80" t="b">
        <v>0</v>
      </c>
      <c r="F577" s="80" t="b">
        <v>0</v>
      </c>
      <c r="G577" s="80" t="b">
        <v>0</v>
      </c>
    </row>
    <row r="578" spans="1:7" ht="15">
      <c r="A578" s="81" t="s">
        <v>2781</v>
      </c>
      <c r="B578" s="80">
        <v>3</v>
      </c>
      <c r="C578" s="104">
        <v>0.0006025954255826477</v>
      </c>
      <c r="D578" s="80" t="s">
        <v>3370</v>
      </c>
      <c r="E578" s="80" t="b">
        <v>0</v>
      </c>
      <c r="F578" s="80" t="b">
        <v>0</v>
      </c>
      <c r="G578" s="80" t="b">
        <v>0</v>
      </c>
    </row>
    <row r="579" spans="1:7" ht="15">
      <c r="A579" s="81" t="s">
        <v>2782</v>
      </c>
      <c r="B579" s="80">
        <v>3</v>
      </c>
      <c r="C579" s="104">
        <v>0.0006025954255826477</v>
      </c>
      <c r="D579" s="80" t="s">
        <v>3370</v>
      </c>
      <c r="E579" s="80" t="b">
        <v>0</v>
      </c>
      <c r="F579" s="80" t="b">
        <v>0</v>
      </c>
      <c r="G579" s="80" t="b">
        <v>0</v>
      </c>
    </row>
    <row r="580" spans="1:7" ht="15">
      <c r="A580" s="81" t="s">
        <v>2783</v>
      </c>
      <c r="B580" s="80">
        <v>3</v>
      </c>
      <c r="C580" s="104">
        <v>0.0005394802789677083</v>
      </c>
      <c r="D580" s="80" t="s">
        <v>3370</v>
      </c>
      <c r="E580" s="80" t="b">
        <v>0</v>
      </c>
      <c r="F580" s="80" t="b">
        <v>0</v>
      </c>
      <c r="G580" s="80" t="b">
        <v>0</v>
      </c>
    </row>
    <row r="581" spans="1:7" ht="15">
      <c r="A581" s="81" t="s">
        <v>2784</v>
      </c>
      <c r="B581" s="80">
        <v>3</v>
      </c>
      <c r="C581" s="104">
        <v>0.0007104914813761894</v>
      </c>
      <c r="D581" s="80" t="s">
        <v>3370</v>
      </c>
      <c r="E581" s="80" t="b">
        <v>0</v>
      </c>
      <c r="F581" s="80" t="b">
        <v>0</v>
      </c>
      <c r="G581" s="80" t="b">
        <v>0</v>
      </c>
    </row>
    <row r="582" spans="1:7" ht="15">
      <c r="A582" s="81" t="s">
        <v>2785</v>
      </c>
      <c r="B582" s="80">
        <v>3</v>
      </c>
      <c r="C582" s="104">
        <v>0.0006025954255826477</v>
      </c>
      <c r="D582" s="80" t="s">
        <v>3370</v>
      </c>
      <c r="E582" s="80" t="b">
        <v>0</v>
      </c>
      <c r="F582" s="80" t="b">
        <v>0</v>
      </c>
      <c r="G582" s="80" t="b">
        <v>0</v>
      </c>
    </row>
    <row r="583" spans="1:7" ht="15">
      <c r="A583" s="81" t="s">
        <v>2786</v>
      </c>
      <c r="B583" s="80">
        <v>3</v>
      </c>
      <c r="C583" s="104">
        <v>0.0005394802789677083</v>
      </c>
      <c r="D583" s="80" t="s">
        <v>3370</v>
      </c>
      <c r="E583" s="80" t="b">
        <v>0</v>
      </c>
      <c r="F583" s="80" t="b">
        <v>0</v>
      </c>
      <c r="G583" s="80" t="b">
        <v>0</v>
      </c>
    </row>
    <row r="584" spans="1:7" ht="15">
      <c r="A584" s="81" t="s">
        <v>2787</v>
      </c>
      <c r="B584" s="80">
        <v>3</v>
      </c>
      <c r="C584" s="104">
        <v>0.0006025954255826477</v>
      </c>
      <c r="D584" s="80" t="s">
        <v>3370</v>
      </c>
      <c r="E584" s="80" t="b">
        <v>0</v>
      </c>
      <c r="F584" s="80" t="b">
        <v>0</v>
      </c>
      <c r="G584" s="80" t="b">
        <v>0</v>
      </c>
    </row>
    <row r="585" spans="1:7" ht="15">
      <c r="A585" s="81" t="s">
        <v>2788</v>
      </c>
      <c r="B585" s="80">
        <v>3</v>
      </c>
      <c r="C585" s="104">
        <v>0.0005394802789677083</v>
      </c>
      <c r="D585" s="80" t="s">
        <v>3370</v>
      </c>
      <c r="E585" s="80" t="b">
        <v>0</v>
      </c>
      <c r="F585" s="80" t="b">
        <v>0</v>
      </c>
      <c r="G585" s="80" t="b">
        <v>0</v>
      </c>
    </row>
    <row r="586" spans="1:7" ht="15">
      <c r="A586" s="81" t="s">
        <v>2789</v>
      </c>
      <c r="B586" s="80">
        <v>3</v>
      </c>
      <c r="C586" s="104">
        <v>0.0006025954255826477</v>
      </c>
      <c r="D586" s="80" t="s">
        <v>3370</v>
      </c>
      <c r="E586" s="80" t="b">
        <v>0</v>
      </c>
      <c r="F586" s="80" t="b">
        <v>0</v>
      </c>
      <c r="G586" s="80" t="b">
        <v>0</v>
      </c>
    </row>
    <row r="587" spans="1:7" ht="15">
      <c r="A587" s="81" t="s">
        <v>2790</v>
      </c>
      <c r="B587" s="80">
        <v>3</v>
      </c>
      <c r="C587" s="104">
        <v>0.0005394802789677083</v>
      </c>
      <c r="D587" s="80" t="s">
        <v>3370</v>
      </c>
      <c r="E587" s="80" t="b">
        <v>0</v>
      </c>
      <c r="F587" s="80" t="b">
        <v>0</v>
      </c>
      <c r="G587" s="80" t="b">
        <v>0</v>
      </c>
    </row>
    <row r="588" spans="1:7" ht="15">
      <c r="A588" s="81" t="s">
        <v>2791</v>
      </c>
      <c r="B588" s="80">
        <v>3</v>
      </c>
      <c r="C588" s="104">
        <v>0.0005394802789677083</v>
      </c>
      <c r="D588" s="80" t="s">
        <v>3370</v>
      </c>
      <c r="E588" s="80" t="b">
        <v>0</v>
      </c>
      <c r="F588" s="80" t="b">
        <v>0</v>
      </c>
      <c r="G588" s="80" t="b">
        <v>0</v>
      </c>
    </row>
    <row r="589" spans="1:7" ht="15">
      <c r="A589" s="81" t="s">
        <v>2792</v>
      </c>
      <c r="B589" s="80">
        <v>3</v>
      </c>
      <c r="C589" s="104">
        <v>0.0005394802789677083</v>
      </c>
      <c r="D589" s="80" t="s">
        <v>3370</v>
      </c>
      <c r="E589" s="80" t="b">
        <v>0</v>
      </c>
      <c r="F589" s="80" t="b">
        <v>0</v>
      </c>
      <c r="G589" s="80" t="b">
        <v>0</v>
      </c>
    </row>
    <row r="590" spans="1:7" ht="15">
      <c r="A590" s="81" t="s">
        <v>2793</v>
      </c>
      <c r="B590" s="80">
        <v>3</v>
      </c>
      <c r="C590" s="104">
        <v>0.0005394802789677083</v>
      </c>
      <c r="D590" s="80" t="s">
        <v>3370</v>
      </c>
      <c r="E590" s="80" t="b">
        <v>0</v>
      </c>
      <c r="F590" s="80" t="b">
        <v>0</v>
      </c>
      <c r="G590" s="80" t="b">
        <v>0</v>
      </c>
    </row>
    <row r="591" spans="1:7" ht="15">
      <c r="A591" s="81" t="s">
        <v>2794</v>
      </c>
      <c r="B591" s="80">
        <v>3</v>
      </c>
      <c r="C591" s="104">
        <v>0.0007104914813761894</v>
      </c>
      <c r="D591" s="80" t="s">
        <v>3370</v>
      </c>
      <c r="E591" s="80" t="b">
        <v>0</v>
      </c>
      <c r="F591" s="80" t="b">
        <v>0</v>
      </c>
      <c r="G591" s="80" t="b">
        <v>0</v>
      </c>
    </row>
    <row r="592" spans="1:7" ht="15">
      <c r="A592" s="81" t="s">
        <v>2795</v>
      </c>
      <c r="B592" s="80">
        <v>3</v>
      </c>
      <c r="C592" s="104">
        <v>0.0005394802789677083</v>
      </c>
      <c r="D592" s="80" t="s">
        <v>3370</v>
      </c>
      <c r="E592" s="80" t="b">
        <v>0</v>
      </c>
      <c r="F592" s="80" t="b">
        <v>0</v>
      </c>
      <c r="G592" s="80" t="b">
        <v>0</v>
      </c>
    </row>
    <row r="593" spans="1:7" ht="15">
      <c r="A593" s="81" t="s">
        <v>2796</v>
      </c>
      <c r="B593" s="80">
        <v>3</v>
      </c>
      <c r="C593" s="104">
        <v>0.0005394802789677083</v>
      </c>
      <c r="D593" s="80" t="s">
        <v>3370</v>
      </c>
      <c r="E593" s="80" t="b">
        <v>0</v>
      </c>
      <c r="F593" s="80" t="b">
        <v>0</v>
      </c>
      <c r="G593" s="80" t="b">
        <v>0</v>
      </c>
    </row>
    <row r="594" spans="1:7" ht="15">
      <c r="A594" s="81" t="s">
        <v>2797</v>
      </c>
      <c r="B594" s="80">
        <v>3</v>
      </c>
      <c r="C594" s="104">
        <v>0.0007104914813761894</v>
      </c>
      <c r="D594" s="80" t="s">
        <v>3370</v>
      </c>
      <c r="E594" s="80" t="b">
        <v>0</v>
      </c>
      <c r="F594" s="80" t="b">
        <v>0</v>
      </c>
      <c r="G594" s="80" t="b">
        <v>0</v>
      </c>
    </row>
    <row r="595" spans="1:7" ht="15">
      <c r="A595" s="81" t="s">
        <v>2798</v>
      </c>
      <c r="B595" s="80">
        <v>3</v>
      </c>
      <c r="C595" s="104">
        <v>0.0005394802789677083</v>
      </c>
      <c r="D595" s="80" t="s">
        <v>3370</v>
      </c>
      <c r="E595" s="80" t="b">
        <v>0</v>
      </c>
      <c r="F595" s="80" t="b">
        <v>0</v>
      </c>
      <c r="G595" s="80" t="b">
        <v>0</v>
      </c>
    </row>
    <row r="596" spans="1:7" ht="15">
      <c r="A596" s="81" t="s">
        <v>2799</v>
      </c>
      <c r="B596" s="80">
        <v>3</v>
      </c>
      <c r="C596" s="104">
        <v>0.0005394802789677083</v>
      </c>
      <c r="D596" s="80" t="s">
        <v>3370</v>
      </c>
      <c r="E596" s="80" t="b">
        <v>0</v>
      </c>
      <c r="F596" s="80" t="b">
        <v>0</v>
      </c>
      <c r="G596" s="80" t="b">
        <v>0</v>
      </c>
    </row>
    <row r="597" spans="1:7" ht="15">
      <c r="A597" s="81" t="s">
        <v>2800</v>
      </c>
      <c r="B597" s="80">
        <v>3</v>
      </c>
      <c r="C597" s="104">
        <v>0.0007104914813761894</v>
      </c>
      <c r="D597" s="80" t="s">
        <v>3370</v>
      </c>
      <c r="E597" s="80" t="b">
        <v>0</v>
      </c>
      <c r="F597" s="80" t="b">
        <v>0</v>
      </c>
      <c r="G597" s="80" t="b">
        <v>0</v>
      </c>
    </row>
    <row r="598" spans="1:7" ht="15">
      <c r="A598" s="81" t="s">
        <v>2801</v>
      </c>
      <c r="B598" s="80">
        <v>3</v>
      </c>
      <c r="C598" s="104">
        <v>0.0007104914813761894</v>
      </c>
      <c r="D598" s="80" t="s">
        <v>3370</v>
      </c>
      <c r="E598" s="80" t="b">
        <v>0</v>
      </c>
      <c r="F598" s="80" t="b">
        <v>0</v>
      </c>
      <c r="G598" s="80" t="b">
        <v>0</v>
      </c>
    </row>
    <row r="599" spans="1:7" ht="15">
      <c r="A599" s="81" t="s">
        <v>2802</v>
      </c>
      <c r="B599" s="80">
        <v>3</v>
      </c>
      <c r="C599" s="104">
        <v>0.0005394802789677083</v>
      </c>
      <c r="D599" s="80" t="s">
        <v>3370</v>
      </c>
      <c r="E599" s="80" t="b">
        <v>0</v>
      </c>
      <c r="F599" s="80" t="b">
        <v>0</v>
      </c>
      <c r="G599" s="80" t="b">
        <v>0</v>
      </c>
    </row>
    <row r="600" spans="1:7" ht="15">
      <c r="A600" s="81" t="s">
        <v>2803</v>
      </c>
      <c r="B600" s="80">
        <v>3</v>
      </c>
      <c r="C600" s="104">
        <v>0.0006025954255826477</v>
      </c>
      <c r="D600" s="80" t="s">
        <v>3370</v>
      </c>
      <c r="E600" s="80" t="b">
        <v>0</v>
      </c>
      <c r="F600" s="80" t="b">
        <v>0</v>
      </c>
      <c r="G600" s="80" t="b">
        <v>0</v>
      </c>
    </row>
    <row r="601" spans="1:7" ht="15">
      <c r="A601" s="81" t="s">
        <v>2804</v>
      </c>
      <c r="B601" s="80">
        <v>3</v>
      </c>
      <c r="C601" s="104">
        <v>0.0005394802789677083</v>
      </c>
      <c r="D601" s="80" t="s">
        <v>3370</v>
      </c>
      <c r="E601" s="80" t="b">
        <v>0</v>
      </c>
      <c r="F601" s="80" t="b">
        <v>0</v>
      </c>
      <c r="G601" s="80" t="b">
        <v>0</v>
      </c>
    </row>
    <row r="602" spans="1:7" ht="15">
      <c r="A602" s="81" t="s">
        <v>2805</v>
      </c>
      <c r="B602" s="80">
        <v>3</v>
      </c>
      <c r="C602" s="104">
        <v>0.0005394802789677083</v>
      </c>
      <c r="D602" s="80" t="s">
        <v>3370</v>
      </c>
      <c r="E602" s="80" t="b">
        <v>0</v>
      </c>
      <c r="F602" s="80" t="b">
        <v>0</v>
      </c>
      <c r="G602" s="80" t="b">
        <v>0</v>
      </c>
    </row>
    <row r="603" spans="1:7" ht="15">
      <c r="A603" s="81" t="s">
        <v>2806</v>
      </c>
      <c r="B603" s="80">
        <v>3</v>
      </c>
      <c r="C603" s="104">
        <v>0.0005394802789677083</v>
      </c>
      <c r="D603" s="80" t="s">
        <v>3370</v>
      </c>
      <c r="E603" s="80" t="b">
        <v>0</v>
      </c>
      <c r="F603" s="80" t="b">
        <v>0</v>
      </c>
      <c r="G603" s="80" t="b">
        <v>0</v>
      </c>
    </row>
    <row r="604" spans="1:7" ht="15">
      <c r="A604" s="81" t="s">
        <v>2807</v>
      </c>
      <c r="B604" s="80">
        <v>3</v>
      </c>
      <c r="C604" s="104">
        <v>0.0007104914813761894</v>
      </c>
      <c r="D604" s="80" t="s">
        <v>3370</v>
      </c>
      <c r="E604" s="80" t="b">
        <v>0</v>
      </c>
      <c r="F604" s="80" t="b">
        <v>0</v>
      </c>
      <c r="G604" s="80" t="b">
        <v>0</v>
      </c>
    </row>
    <row r="605" spans="1:7" ht="15">
      <c r="A605" s="81" t="s">
        <v>2808</v>
      </c>
      <c r="B605" s="80">
        <v>3</v>
      </c>
      <c r="C605" s="104">
        <v>0.0005394802789677083</v>
      </c>
      <c r="D605" s="80" t="s">
        <v>3370</v>
      </c>
      <c r="E605" s="80" t="b">
        <v>0</v>
      </c>
      <c r="F605" s="80" t="b">
        <v>0</v>
      </c>
      <c r="G605" s="80" t="b">
        <v>0</v>
      </c>
    </row>
    <row r="606" spans="1:7" ht="15">
      <c r="A606" s="81" t="s">
        <v>2809</v>
      </c>
      <c r="B606" s="80">
        <v>3</v>
      </c>
      <c r="C606" s="104">
        <v>0.0005394802789677083</v>
      </c>
      <c r="D606" s="80" t="s">
        <v>3370</v>
      </c>
      <c r="E606" s="80" t="b">
        <v>0</v>
      </c>
      <c r="F606" s="80" t="b">
        <v>0</v>
      </c>
      <c r="G606" s="80" t="b">
        <v>0</v>
      </c>
    </row>
    <row r="607" spans="1:7" ht="15">
      <c r="A607" s="81" t="s">
        <v>2810</v>
      </c>
      <c r="B607" s="80">
        <v>3</v>
      </c>
      <c r="C607" s="104">
        <v>0.0005394802789677083</v>
      </c>
      <c r="D607" s="80" t="s">
        <v>3370</v>
      </c>
      <c r="E607" s="80" t="b">
        <v>0</v>
      </c>
      <c r="F607" s="80" t="b">
        <v>0</v>
      </c>
      <c r="G607" s="80" t="b">
        <v>0</v>
      </c>
    </row>
    <row r="608" spans="1:7" ht="15">
      <c r="A608" s="81" t="s">
        <v>2811</v>
      </c>
      <c r="B608" s="80">
        <v>3</v>
      </c>
      <c r="C608" s="104">
        <v>0.0005394802789677083</v>
      </c>
      <c r="D608" s="80" t="s">
        <v>3370</v>
      </c>
      <c r="E608" s="80" t="b">
        <v>0</v>
      </c>
      <c r="F608" s="80" t="b">
        <v>0</v>
      </c>
      <c r="G608" s="80" t="b">
        <v>0</v>
      </c>
    </row>
    <row r="609" spans="1:7" ht="15">
      <c r="A609" s="81" t="s">
        <v>2812</v>
      </c>
      <c r="B609" s="80">
        <v>3</v>
      </c>
      <c r="C609" s="104">
        <v>0.0005394802789677083</v>
      </c>
      <c r="D609" s="80" t="s">
        <v>3370</v>
      </c>
      <c r="E609" s="80" t="b">
        <v>0</v>
      </c>
      <c r="F609" s="80" t="b">
        <v>0</v>
      </c>
      <c r="G609" s="80" t="b">
        <v>0</v>
      </c>
    </row>
    <row r="610" spans="1:7" ht="15">
      <c r="A610" s="81" t="s">
        <v>2813</v>
      </c>
      <c r="B610" s="80">
        <v>3</v>
      </c>
      <c r="C610" s="104">
        <v>0.0006025954255826477</v>
      </c>
      <c r="D610" s="80" t="s">
        <v>3370</v>
      </c>
      <c r="E610" s="80" t="b">
        <v>0</v>
      </c>
      <c r="F610" s="80" t="b">
        <v>0</v>
      </c>
      <c r="G610" s="80" t="b">
        <v>0</v>
      </c>
    </row>
    <row r="611" spans="1:7" ht="15">
      <c r="A611" s="81" t="s">
        <v>2814</v>
      </c>
      <c r="B611" s="80">
        <v>3</v>
      </c>
      <c r="C611" s="104">
        <v>0.0005394802789677083</v>
      </c>
      <c r="D611" s="80" t="s">
        <v>3370</v>
      </c>
      <c r="E611" s="80" t="b">
        <v>0</v>
      </c>
      <c r="F611" s="80" t="b">
        <v>0</v>
      </c>
      <c r="G611" s="80" t="b">
        <v>0</v>
      </c>
    </row>
    <row r="612" spans="1:7" ht="15">
      <c r="A612" s="81" t="s">
        <v>2815</v>
      </c>
      <c r="B612" s="80">
        <v>3</v>
      </c>
      <c r="C612" s="104">
        <v>0.0005394802789677083</v>
      </c>
      <c r="D612" s="80" t="s">
        <v>3370</v>
      </c>
      <c r="E612" s="80" t="b">
        <v>0</v>
      </c>
      <c r="F612" s="80" t="b">
        <v>0</v>
      </c>
      <c r="G612" s="80" t="b">
        <v>0</v>
      </c>
    </row>
    <row r="613" spans="1:7" ht="15">
      <c r="A613" s="81" t="s">
        <v>2816</v>
      </c>
      <c r="B613" s="80">
        <v>3</v>
      </c>
      <c r="C613" s="104">
        <v>0.0006025954255826477</v>
      </c>
      <c r="D613" s="80" t="s">
        <v>3370</v>
      </c>
      <c r="E613" s="80" t="b">
        <v>0</v>
      </c>
      <c r="F613" s="80" t="b">
        <v>0</v>
      </c>
      <c r="G613" s="80" t="b">
        <v>0</v>
      </c>
    </row>
    <row r="614" spans="1:7" ht="15">
      <c r="A614" s="81" t="s">
        <v>2817</v>
      </c>
      <c r="B614" s="80">
        <v>3</v>
      </c>
      <c r="C614" s="104">
        <v>0.0005394802789677083</v>
      </c>
      <c r="D614" s="80" t="s">
        <v>3370</v>
      </c>
      <c r="E614" s="80" t="b">
        <v>0</v>
      </c>
      <c r="F614" s="80" t="b">
        <v>0</v>
      </c>
      <c r="G614" s="80" t="b">
        <v>0</v>
      </c>
    </row>
    <row r="615" spans="1:7" ht="15">
      <c r="A615" s="81" t="s">
        <v>2818</v>
      </c>
      <c r="B615" s="80">
        <v>3</v>
      </c>
      <c r="C615" s="104">
        <v>0.0005394802789677083</v>
      </c>
      <c r="D615" s="80" t="s">
        <v>3370</v>
      </c>
      <c r="E615" s="80" t="b">
        <v>0</v>
      </c>
      <c r="F615" s="80" t="b">
        <v>0</v>
      </c>
      <c r="G615" s="80" t="b">
        <v>0</v>
      </c>
    </row>
    <row r="616" spans="1:7" ht="15">
      <c r="A616" s="81" t="s">
        <v>2819</v>
      </c>
      <c r="B616" s="80">
        <v>3</v>
      </c>
      <c r="C616" s="104">
        <v>0.0005394802789677083</v>
      </c>
      <c r="D616" s="80" t="s">
        <v>3370</v>
      </c>
      <c r="E616" s="80" t="b">
        <v>0</v>
      </c>
      <c r="F616" s="80" t="b">
        <v>0</v>
      </c>
      <c r="G616" s="80" t="b">
        <v>0</v>
      </c>
    </row>
    <row r="617" spans="1:7" ht="15">
      <c r="A617" s="81" t="s">
        <v>2820</v>
      </c>
      <c r="B617" s="80">
        <v>3</v>
      </c>
      <c r="C617" s="104">
        <v>0.0005394802789677083</v>
      </c>
      <c r="D617" s="80" t="s">
        <v>3370</v>
      </c>
      <c r="E617" s="80" t="b">
        <v>0</v>
      </c>
      <c r="F617" s="80" t="b">
        <v>0</v>
      </c>
      <c r="G617" s="80" t="b">
        <v>0</v>
      </c>
    </row>
    <row r="618" spans="1:7" ht="15">
      <c r="A618" s="81" t="s">
        <v>2821</v>
      </c>
      <c r="B618" s="80">
        <v>3</v>
      </c>
      <c r="C618" s="104">
        <v>0.0005394802789677083</v>
      </c>
      <c r="D618" s="80" t="s">
        <v>3370</v>
      </c>
      <c r="E618" s="80" t="b">
        <v>0</v>
      </c>
      <c r="F618" s="80" t="b">
        <v>0</v>
      </c>
      <c r="G618" s="80" t="b">
        <v>0</v>
      </c>
    </row>
    <row r="619" spans="1:7" ht="15">
      <c r="A619" s="81" t="s">
        <v>2822</v>
      </c>
      <c r="B619" s="80">
        <v>3</v>
      </c>
      <c r="C619" s="104">
        <v>0.0005394802789677083</v>
      </c>
      <c r="D619" s="80" t="s">
        <v>3370</v>
      </c>
      <c r="E619" s="80" t="b">
        <v>0</v>
      </c>
      <c r="F619" s="80" t="b">
        <v>0</v>
      </c>
      <c r="G619" s="80" t="b">
        <v>0</v>
      </c>
    </row>
    <row r="620" spans="1:7" ht="15">
      <c r="A620" s="81" t="s">
        <v>2823</v>
      </c>
      <c r="B620" s="80">
        <v>3</v>
      </c>
      <c r="C620" s="104">
        <v>0.0005394802789677083</v>
      </c>
      <c r="D620" s="80" t="s">
        <v>3370</v>
      </c>
      <c r="E620" s="80" t="b">
        <v>1</v>
      </c>
      <c r="F620" s="80" t="b">
        <v>0</v>
      </c>
      <c r="G620" s="80" t="b">
        <v>0</v>
      </c>
    </row>
    <row r="621" spans="1:7" ht="15">
      <c r="A621" s="81" t="s">
        <v>2824</v>
      </c>
      <c r="B621" s="80">
        <v>3</v>
      </c>
      <c r="C621" s="104">
        <v>0.0006025954255826477</v>
      </c>
      <c r="D621" s="80" t="s">
        <v>3370</v>
      </c>
      <c r="E621" s="80" t="b">
        <v>0</v>
      </c>
      <c r="F621" s="80" t="b">
        <v>0</v>
      </c>
      <c r="G621" s="80" t="b">
        <v>0</v>
      </c>
    </row>
    <row r="622" spans="1:7" ht="15">
      <c r="A622" s="81" t="s">
        <v>2825</v>
      </c>
      <c r="B622" s="80">
        <v>3</v>
      </c>
      <c r="C622" s="104">
        <v>0.0005394802789677083</v>
      </c>
      <c r="D622" s="80" t="s">
        <v>3370</v>
      </c>
      <c r="E622" s="80" t="b">
        <v>0</v>
      </c>
      <c r="F622" s="80" t="b">
        <v>0</v>
      </c>
      <c r="G622" s="80" t="b">
        <v>0</v>
      </c>
    </row>
    <row r="623" spans="1:7" ht="15">
      <c r="A623" s="81" t="s">
        <v>2826</v>
      </c>
      <c r="B623" s="80">
        <v>3</v>
      </c>
      <c r="C623" s="104">
        <v>0.0006025954255826477</v>
      </c>
      <c r="D623" s="80" t="s">
        <v>3370</v>
      </c>
      <c r="E623" s="80" t="b">
        <v>0</v>
      </c>
      <c r="F623" s="80" t="b">
        <v>0</v>
      </c>
      <c r="G623" s="80" t="b">
        <v>0</v>
      </c>
    </row>
    <row r="624" spans="1:7" ht="15">
      <c r="A624" s="81" t="s">
        <v>2827</v>
      </c>
      <c r="B624" s="80">
        <v>3</v>
      </c>
      <c r="C624" s="104">
        <v>0.0006025954255826477</v>
      </c>
      <c r="D624" s="80" t="s">
        <v>3370</v>
      </c>
      <c r="E624" s="80" t="b">
        <v>0</v>
      </c>
      <c r="F624" s="80" t="b">
        <v>0</v>
      </c>
      <c r="G624" s="80" t="b">
        <v>0</v>
      </c>
    </row>
    <row r="625" spans="1:7" ht="15">
      <c r="A625" s="81" t="s">
        <v>2828</v>
      </c>
      <c r="B625" s="80">
        <v>3</v>
      </c>
      <c r="C625" s="104">
        <v>0.0006025954255826477</v>
      </c>
      <c r="D625" s="80" t="s">
        <v>3370</v>
      </c>
      <c r="E625" s="80" t="b">
        <v>0</v>
      </c>
      <c r="F625" s="80" t="b">
        <v>0</v>
      </c>
      <c r="G625" s="80" t="b">
        <v>0</v>
      </c>
    </row>
    <row r="626" spans="1:7" ht="15">
      <c r="A626" s="81" t="s">
        <v>2829</v>
      </c>
      <c r="B626" s="80">
        <v>3</v>
      </c>
      <c r="C626" s="104">
        <v>0.0005394802789677083</v>
      </c>
      <c r="D626" s="80" t="s">
        <v>3370</v>
      </c>
      <c r="E626" s="80" t="b">
        <v>0</v>
      </c>
      <c r="F626" s="80" t="b">
        <v>0</v>
      </c>
      <c r="G626" s="80" t="b">
        <v>0</v>
      </c>
    </row>
    <row r="627" spans="1:7" ht="15">
      <c r="A627" s="81" t="s">
        <v>2830</v>
      </c>
      <c r="B627" s="80">
        <v>3</v>
      </c>
      <c r="C627" s="104">
        <v>0.0007104914813761894</v>
      </c>
      <c r="D627" s="80" t="s">
        <v>3370</v>
      </c>
      <c r="E627" s="80" t="b">
        <v>0</v>
      </c>
      <c r="F627" s="80" t="b">
        <v>0</v>
      </c>
      <c r="G627" s="80" t="b">
        <v>0</v>
      </c>
    </row>
    <row r="628" spans="1:7" ht="15">
      <c r="A628" s="81" t="s">
        <v>2831</v>
      </c>
      <c r="B628" s="80">
        <v>3</v>
      </c>
      <c r="C628" s="104">
        <v>0.0006025954255826477</v>
      </c>
      <c r="D628" s="80" t="s">
        <v>3370</v>
      </c>
      <c r="E628" s="80" t="b">
        <v>0</v>
      </c>
      <c r="F628" s="80" t="b">
        <v>0</v>
      </c>
      <c r="G628" s="80" t="b">
        <v>0</v>
      </c>
    </row>
    <row r="629" spans="1:7" ht="15">
      <c r="A629" s="81" t="s">
        <v>2832</v>
      </c>
      <c r="B629" s="80">
        <v>3</v>
      </c>
      <c r="C629" s="104">
        <v>0.0005394802789677083</v>
      </c>
      <c r="D629" s="80" t="s">
        <v>3370</v>
      </c>
      <c r="E629" s="80" t="b">
        <v>0</v>
      </c>
      <c r="F629" s="80" t="b">
        <v>0</v>
      </c>
      <c r="G629" s="80" t="b">
        <v>0</v>
      </c>
    </row>
    <row r="630" spans="1:7" ht="15">
      <c r="A630" s="81" t="s">
        <v>2833</v>
      </c>
      <c r="B630" s="80">
        <v>3</v>
      </c>
      <c r="C630" s="104">
        <v>0.0005394802789677083</v>
      </c>
      <c r="D630" s="80" t="s">
        <v>3370</v>
      </c>
      <c r="E630" s="80" t="b">
        <v>0</v>
      </c>
      <c r="F630" s="80" t="b">
        <v>0</v>
      </c>
      <c r="G630" s="80" t="b">
        <v>0</v>
      </c>
    </row>
    <row r="631" spans="1:7" ht="15">
      <c r="A631" s="81" t="s">
        <v>2834</v>
      </c>
      <c r="B631" s="80">
        <v>3</v>
      </c>
      <c r="C631" s="104">
        <v>0.0005394802789677083</v>
      </c>
      <c r="D631" s="80" t="s">
        <v>3370</v>
      </c>
      <c r="E631" s="80" t="b">
        <v>0</v>
      </c>
      <c r="F631" s="80" t="b">
        <v>0</v>
      </c>
      <c r="G631" s="80" t="b">
        <v>0</v>
      </c>
    </row>
    <row r="632" spans="1:7" ht="15">
      <c r="A632" s="81" t="s">
        <v>2835</v>
      </c>
      <c r="B632" s="80">
        <v>3</v>
      </c>
      <c r="C632" s="104">
        <v>0.0005394802789677083</v>
      </c>
      <c r="D632" s="80" t="s">
        <v>3370</v>
      </c>
      <c r="E632" s="80" t="b">
        <v>0</v>
      </c>
      <c r="F632" s="80" t="b">
        <v>0</v>
      </c>
      <c r="G632" s="80" t="b">
        <v>0</v>
      </c>
    </row>
    <row r="633" spans="1:7" ht="15">
      <c r="A633" s="81" t="s">
        <v>2836</v>
      </c>
      <c r="B633" s="80">
        <v>3</v>
      </c>
      <c r="C633" s="104">
        <v>0.0006025954255826477</v>
      </c>
      <c r="D633" s="80" t="s">
        <v>3370</v>
      </c>
      <c r="E633" s="80" t="b">
        <v>0</v>
      </c>
      <c r="F633" s="80" t="b">
        <v>0</v>
      </c>
      <c r="G633" s="80" t="b">
        <v>0</v>
      </c>
    </row>
    <row r="634" spans="1:7" ht="15">
      <c r="A634" s="81" t="s">
        <v>2837</v>
      </c>
      <c r="B634" s="80">
        <v>3</v>
      </c>
      <c r="C634" s="104">
        <v>0.0005394802789677083</v>
      </c>
      <c r="D634" s="80" t="s">
        <v>3370</v>
      </c>
      <c r="E634" s="80" t="b">
        <v>0</v>
      </c>
      <c r="F634" s="80" t="b">
        <v>0</v>
      </c>
      <c r="G634" s="80" t="b">
        <v>0</v>
      </c>
    </row>
    <row r="635" spans="1:7" ht="15">
      <c r="A635" s="81" t="s">
        <v>2838</v>
      </c>
      <c r="B635" s="80">
        <v>3</v>
      </c>
      <c r="C635" s="104">
        <v>0.0007104914813761894</v>
      </c>
      <c r="D635" s="80" t="s">
        <v>3370</v>
      </c>
      <c r="E635" s="80" t="b">
        <v>0</v>
      </c>
      <c r="F635" s="80" t="b">
        <v>0</v>
      </c>
      <c r="G635" s="80" t="b">
        <v>0</v>
      </c>
    </row>
    <row r="636" spans="1:7" ht="15">
      <c r="A636" s="81" t="s">
        <v>2839</v>
      </c>
      <c r="B636" s="80">
        <v>3</v>
      </c>
      <c r="C636" s="104">
        <v>0.0006025954255826477</v>
      </c>
      <c r="D636" s="80" t="s">
        <v>3370</v>
      </c>
      <c r="E636" s="80" t="b">
        <v>0</v>
      </c>
      <c r="F636" s="80" t="b">
        <v>0</v>
      </c>
      <c r="G636" s="80" t="b">
        <v>0</v>
      </c>
    </row>
    <row r="637" spans="1:7" ht="15">
      <c r="A637" s="81" t="s">
        <v>2840</v>
      </c>
      <c r="B637" s="80">
        <v>3</v>
      </c>
      <c r="C637" s="104">
        <v>0.0005394802789677083</v>
      </c>
      <c r="D637" s="80" t="s">
        <v>3370</v>
      </c>
      <c r="E637" s="80" t="b">
        <v>0</v>
      </c>
      <c r="F637" s="80" t="b">
        <v>0</v>
      </c>
      <c r="G637" s="80" t="b">
        <v>0</v>
      </c>
    </row>
    <row r="638" spans="1:7" ht="15">
      <c r="A638" s="81" t="s">
        <v>2841</v>
      </c>
      <c r="B638" s="80">
        <v>3</v>
      </c>
      <c r="C638" s="104">
        <v>0.0005394802789677083</v>
      </c>
      <c r="D638" s="80" t="s">
        <v>3370</v>
      </c>
      <c r="E638" s="80" t="b">
        <v>0</v>
      </c>
      <c r="F638" s="80" t="b">
        <v>0</v>
      </c>
      <c r="G638" s="80" t="b">
        <v>0</v>
      </c>
    </row>
    <row r="639" spans="1:7" ht="15">
      <c r="A639" s="81" t="s">
        <v>2842</v>
      </c>
      <c r="B639" s="80">
        <v>3</v>
      </c>
      <c r="C639" s="104">
        <v>0.0005394802789677083</v>
      </c>
      <c r="D639" s="80" t="s">
        <v>3370</v>
      </c>
      <c r="E639" s="80" t="b">
        <v>0</v>
      </c>
      <c r="F639" s="80" t="b">
        <v>0</v>
      </c>
      <c r="G639" s="80" t="b">
        <v>0</v>
      </c>
    </row>
    <row r="640" spans="1:7" ht="15">
      <c r="A640" s="81" t="s">
        <v>2843</v>
      </c>
      <c r="B640" s="80">
        <v>3</v>
      </c>
      <c r="C640" s="104">
        <v>0.0007104914813761894</v>
      </c>
      <c r="D640" s="80" t="s">
        <v>3370</v>
      </c>
      <c r="E640" s="80" t="b">
        <v>0</v>
      </c>
      <c r="F640" s="80" t="b">
        <v>0</v>
      </c>
      <c r="G640" s="80" t="b">
        <v>0</v>
      </c>
    </row>
    <row r="641" spans="1:7" ht="15">
      <c r="A641" s="81" t="s">
        <v>2844</v>
      </c>
      <c r="B641" s="80">
        <v>3</v>
      </c>
      <c r="C641" s="104">
        <v>0.0005394802789677083</v>
      </c>
      <c r="D641" s="80" t="s">
        <v>3370</v>
      </c>
      <c r="E641" s="80" t="b">
        <v>1</v>
      </c>
      <c r="F641" s="80" t="b">
        <v>0</v>
      </c>
      <c r="G641" s="80" t="b">
        <v>0</v>
      </c>
    </row>
    <row r="642" spans="1:7" ht="15">
      <c r="A642" s="81" t="s">
        <v>2845</v>
      </c>
      <c r="B642" s="80">
        <v>3</v>
      </c>
      <c r="C642" s="104">
        <v>0.0005394802789677083</v>
      </c>
      <c r="D642" s="80" t="s">
        <v>3370</v>
      </c>
      <c r="E642" s="80" t="b">
        <v>0</v>
      </c>
      <c r="F642" s="80" t="b">
        <v>0</v>
      </c>
      <c r="G642" s="80" t="b">
        <v>0</v>
      </c>
    </row>
    <row r="643" spans="1:7" ht="15">
      <c r="A643" s="81" t="s">
        <v>2846</v>
      </c>
      <c r="B643" s="80">
        <v>3</v>
      </c>
      <c r="C643" s="104">
        <v>0.0005394802789677083</v>
      </c>
      <c r="D643" s="80" t="s">
        <v>3370</v>
      </c>
      <c r="E643" s="80" t="b">
        <v>0</v>
      </c>
      <c r="F643" s="80" t="b">
        <v>0</v>
      </c>
      <c r="G643" s="80" t="b">
        <v>0</v>
      </c>
    </row>
    <row r="644" spans="1:7" ht="15">
      <c r="A644" s="81" t="s">
        <v>2847</v>
      </c>
      <c r="B644" s="80">
        <v>3</v>
      </c>
      <c r="C644" s="104">
        <v>0.0005394802789677083</v>
      </c>
      <c r="D644" s="80" t="s">
        <v>3370</v>
      </c>
      <c r="E644" s="80" t="b">
        <v>0</v>
      </c>
      <c r="F644" s="80" t="b">
        <v>0</v>
      </c>
      <c r="G644" s="80" t="b">
        <v>0</v>
      </c>
    </row>
    <row r="645" spans="1:7" ht="15">
      <c r="A645" s="81" t="s">
        <v>2848</v>
      </c>
      <c r="B645" s="80">
        <v>3</v>
      </c>
      <c r="C645" s="104">
        <v>0.0007104914813761894</v>
      </c>
      <c r="D645" s="80" t="s">
        <v>3370</v>
      </c>
      <c r="E645" s="80" t="b">
        <v>0</v>
      </c>
      <c r="F645" s="80" t="b">
        <v>0</v>
      </c>
      <c r="G645" s="80" t="b">
        <v>0</v>
      </c>
    </row>
    <row r="646" spans="1:7" ht="15">
      <c r="A646" s="81" t="s">
        <v>2849</v>
      </c>
      <c r="B646" s="80">
        <v>3</v>
      </c>
      <c r="C646" s="104">
        <v>0.0007104914813761894</v>
      </c>
      <c r="D646" s="80" t="s">
        <v>3370</v>
      </c>
      <c r="E646" s="80" t="b">
        <v>1</v>
      </c>
      <c r="F646" s="80" t="b">
        <v>0</v>
      </c>
      <c r="G646" s="80" t="b">
        <v>0</v>
      </c>
    </row>
    <row r="647" spans="1:7" ht="15">
      <c r="A647" s="81" t="s">
        <v>2850</v>
      </c>
      <c r="B647" s="80">
        <v>3</v>
      </c>
      <c r="C647" s="104">
        <v>0.0006025954255826477</v>
      </c>
      <c r="D647" s="80" t="s">
        <v>3370</v>
      </c>
      <c r="E647" s="80" t="b">
        <v>0</v>
      </c>
      <c r="F647" s="80" t="b">
        <v>0</v>
      </c>
      <c r="G647" s="80" t="b">
        <v>0</v>
      </c>
    </row>
    <row r="648" spans="1:7" ht="15">
      <c r="A648" s="81" t="s">
        <v>2851</v>
      </c>
      <c r="B648" s="80">
        <v>3</v>
      </c>
      <c r="C648" s="104">
        <v>0.0005394802789677083</v>
      </c>
      <c r="D648" s="80" t="s">
        <v>3370</v>
      </c>
      <c r="E648" s="80" t="b">
        <v>0</v>
      </c>
      <c r="F648" s="80" t="b">
        <v>0</v>
      </c>
      <c r="G648" s="80" t="b">
        <v>0</v>
      </c>
    </row>
    <row r="649" spans="1:7" ht="15">
      <c r="A649" s="81" t="s">
        <v>2852</v>
      </c>
      <c r="B649" s="80">
        <v>3</v>
      </c>
      <c r="C649" s="104">
        <v>0.0005394802789677083</v>
      </c>
      <c r="D649" s="80" t="s">
        <v>3370</v>
      </c>
      <c r="E649" s="80" t="b">
        <v>0</v>
      </c>
      <c r="F649" s="80" t="b">
        <v>0</v>
      </c>
      <c r="G649" s="80" t="b">
        <v>0</v>
      </c>
    </row>
    <row r="650" spans="1:7" ht="15">
      <c r="A650" s="81" t="s">
        <v>2853</v>
      </c>
      <c r="B650" s="80">
        <v>3</v>
      </c>
      <c r="C650" s="104">
        <v>0.0006025954255826477</v>
      </c>
      <c r="D650" s="80" t="s">
        <v>3370</v>
      </c>
      <c r="E650" s="80" t="b">
        <v>0</v>
      </c>
      <c r="F650" s="80" t="b">
        <v>0</v>
      </c>
      <c r="G650" s="80" t="b">
        <v>0</v>
      </c>
    </row>
    <row r="651" spans="1:7" ht="15">
      <c r="A651" s="81" t="s">
        <v>2854</v>
      </c>
      <c r="B651" s="80">
        <v>3</v>
      </c>
      <c r="C651" s="104">
        <v>0.0007104914813761894</v>
      </c>
      <c r="D651" s="80" t="s">
        <v>3370</v>
      </c>
      <c r="E651" s="80" t="b">
        <v>0</v>
      </c>
      <c r="F651" s="80" t="b">
        <v>0</v>
      </c>
      <c r="G651" s="80" t="b">
        <v>0</v>
      </c>
    </row>
    <row r="652" spans="1:7" ht="15">
      <c r="A652" s="81" t="s">
        <v>2855</v>
      </c>
      <c r="B652" s="80">
        <v>3</v>
      </c>
      <c r="C652" s="104">
        <v>0.0007104914813761894</v>
      </c>
      <c r="D652" s="80" t="s">
        <v>3370</v>
      </c>
      <c r="E652" s="80" t="b">
        <v>0</v>
      </c>
      <c r="F652" s="80" t="b">
        <v>0</v>
      </c>
      <c r="G652" s="80" t="b">
        <v>0</v>
      </c>
    </row>
    <row r="653" spans="1:7" ht="15">
      <c r="A653" s="81" t="s">
        <v>2856</v>
      </c>
      <c r="B653" s="80">
        <v>3</v>
      </c>
      <c r="C653" s="104">
        <v>0.0006025954255826477</v>
      </c>
      <c r="D653" s="80" t="s">
        <v>3370</v>
      </c>
      <c r="E653" s="80" t="b">
        <v>0</v>
      </c>
      <c r="F653" s="80" t="b">
        <v>0</v>
      </c>
      <c r="G653" s="80" t="b">
        <v>0</v>
      </c>
    </row>
    <row r="654" spans="1:7" ht="15">
      <c r="A654" s="81" t="s">
        <v>2857</v>
      </c>
      <c r="B654" s="80">
        <v>3</v>
      </c>
      <c r="C654" s="104">
        <v>0.0005394802789677083</v>
      </c>
      <c r="D654" s="80" t="s">
        <v>3370</v>
      </c>
      <c r="E654" s="80" t="b">
        <v>0</v>
      </c>
      <c r="F654" s="80" t="b">
        <v>0</v>
      </c>
      <c r="G654" s="80" t="b">
        <v>0</v>
      </c>
    </row>
    <row r="655" spans="1:7" ht="15">
      <c r="A655" s="81" t="s">
        <v>2858</v>
      </c>
      <c r="B655" s="80">
        <v>3</v>
      </c>
      <c r="C655" s="104">
        <v>0.0006025954255826477</v>
      </c>
      <c r="D655" s="80" t="s">
        <v>3370</v>
      </c>
      <c r="E655" s="80" t="b">
        <v>0</v>
      </c>
      <c r="F655" s="80" t="b">
        <v>0</v>
      </c>
      <c r="G655" s="80" t="b">
        <v>0</v>
      </c>
    </row>
    <row r="656" spans="1:7" ht="15">
      <c r="A656" s="81" t="s">
        <v>2859</v>
      </c>
      <c r="B656" s="80">
        <v>3</v>
      </c>
      <c r="C656" s="104">
        <v>0.0005394802789677083</v>
      </c>
      <c r="D656" s="80" t="s">
        <v>3370</v>
      </c>
      <c r="E656" s="80" t="b">
        <v>0</v>
      </c>
      <c r="F656" s="80" t="b">
        <v>0</v>
      </c>
      <c r="G656" s="80" t="b">
        <v>0</v>
      </c>
    </row>
    <row r="657" spans="1:7" ht="15">
      <c r="A657" s="81" t="s">
        <v>2860</v>
      </c>
      <c r="B657" s="80">
        <v>3</v>
      </c>
      <c r="C657" s="104">
        <v>0.0005394802789677083</v>
      </c>
      <c r="D657" s="80" t="s">
        <v>3370</v>
      </c>
      <c r="E657" s="80" t="b">
        <v>0</v>
      </c>
      <c r="F657" s="80" t="b">
        <v>0</v>
      </c>
      <c r="G657" s="80" t="b">
        <v>0</v>
      </c>
    </row>
    <row r="658" spans="1:7" ht="15">
      <c r="A658" s="81" t="s">
        <v>2861</v>
      </c>
      <c r="B658" s="80">
        <v>3</v>
      </c>
      <c r="C658" s="104">
        <v>0.0007104914813761894</v>
      </c>
      <c r="D658" s="80" t="s">
        <v>3370</v>
      </c>
      <c r="E658" s="80" t="b">
        <v>0</v>
      </c>
      <c r="F658" s="80" t="b">
        <v>0</v>
      </c>
      <c r="G658" s="80" t="b">
        <v>0</v>
      </c>
    </row>
    <row r="659" spans="1:7" ht="15">
      <c r="A659" s="81" t="s">
        <v>2862</v>
      </c>
      <c r="B659" s="80">
        <v>3</v>
      </c>
      <c r="C659" s="104">
        <v>0.0007104914813761894</v>
      </c>
      <c r="D659" s="80" t="s">
        <v>3370</v>
      </c>
      <c r="E659" s="80" t="b">
        <v>0</v>
      </c>
      <c r="F659" s="80" t="b">
        <v>0</v>
      </c>
      <c r="G659" s="80" t="b">
        <v>0</v>
      </c>
    </row>
    <row r="660" spans="1:7" ht="15">
      <c r="A660" s="81" t="s">
        <v>2863</v>
      </c>
      <c r="B660" s="80">
        <v>3</v>
      </c>
      <c r="C660" s="104">
        <v>0.0005394802789677083</v>
      </c>
      <c r="D660" s="80" t="s">
        <v>3370</v>
      </c>
      <c r="E660" s="80" t="b">
        <v>0</v>
      </c>
      <c r="F660" s="80" t="b">
        <v>0</v>
      </c>
      <c r="G660" s="80" t="b">
        <v>0</v>
      </c>
    </row>
    <row r="661" spans="1:7" ht="15">
      <c r="A661" s="81" t="s">
        <v>2864</v>
      </c>
      <c r="B661" s="80">
        <v>3</v>
      </c>
      <c r="C661" s="104">
        <v>0.0005394802789677083</v>
      </c>
      <c r="D661" s="80" t="s">
        <v>3370</v>
      </c>
      <c r="E661" s="80" t="b">
        <v>0</v>
      </c>
      <c r="F661" s="80" t="b">
        <v>0</v>
      </c>
      <c r="G661" s="80" t="b">
        <v>0</v>
      </c>
    </row>
    <row r="662" spans="1:7" ht="15">
      <c r="A662" s="81" t="s">
        <v>2865</v>
      </c>
      <c r="B662" s="80">
        <v>3</v>
      </c>
      <c r="C662" s="104">
        <v>0.0005394802789677083</v>
      </c>
      <c r="D662" s="80" t="s">
        <v>3370</v>
      </c>
      <c r="E662" s="80" t="b">
        <v>0</v>
      </c>
      <c r="F662" s="80" t="b">
        <v>0</v>
      </c>
      <c r="G662" s="80" t="b">
        <v>0</v>
      </c>
    </row>
    <row r="663" spans="1:7" ht="15">
      <c r="A663" s="81" t="s">
        <v>2866</v>
      </c>
      <c r="B663" s="80">
        <v>3</v>
      </c>
      <c r="C663" s="104">
        <v>0.0005394802789677083</v>
      </c>
      <c r="D663" s="80" t="s">
        <v>3370</v>
      </c>
      <c r="E663" s="80" t="b">
        <v>0</v>
      </c>
      <c r="F663" s="80" t="b">
        <v>0</v>
      </c>
      <c r="G663" s="80" t="b">
        <v>0</v>
      </c>
    </row>
    <row r="664" spans="1:7" ht="15">
      <c r="A664" s="81" t="s">
        <v>2867</v>
      </c>
      <c r="B664" s="80">
        <v>3</v>
      </c>
      <c r="C664" s="104">
        <v>0.0007104914813761894</v>
      </c>
      <c r="D664" s="80" t="s">
        <v>3370</v>
      </c>
      <c r="E664" s="80" t="b">
        <v>0</v>
      </c>
      <c r="F664" s="80" t="b">
        <v>0</v>
      </c>
      <c r="G664" s="80" t="b">
        <v>0</v>
      </c>
    </row>
    <row r="665" spans="1:7" ht="15">
      <c r="A665" s="81" t="s">
        <v>2868</v>
      </c>
      <c r="B665" s="80">
        <v>3</v>
      </c>
      <c r="C665" s="104">
        <v>0.0005394802789677083</v>
      </c>
      <c r="D665" s="80" t="s">
        <v>3370</v>
      </c>
      <c r="E665" s="80" t="b">
        <v>0</v>
      </c>
      <c r="F665" s="80" t="b">
        <v>0</v>
      </c>
      <c r="G665" s="80" t="b">
        <v>0</v>
      </c>
    </row>
    <row r="666" spans="1:7" ht="15">
      <c r="A666" s="81" t="s">
        <v>2869</v>
      </c>
      <c r="B666" s="80">
        <v>3</v>
      </c>
      <c r="C666" s="104">
        <v>0.0005394802789677083</v>
      </c>
      <c r="D666" s="80" t="s">
        <v>3370</v>
      </c>
      <c r="E666" s="80" t="b">
        <v>0</v>
      </c>
      <c r="F666" s="80" t="b">
        <v>0</v>
      </c>
      <c r="G666" s="80" t="b">
        <v>0</v>
      </c>
    </row>
    <row r="667" spans="1:7" ht="15">
      <c r="A667" s="81" t="s">
        <v>2870</v>
      </c>
      <c r="B667" s="80">
        <v>3</v>
      </c>
      <c r="C667" s="104">
        <v>0.0006025954255826477</v>
      </c>
      <c r="D667" s="80" t="s">
        <v>3370</v>
      </c>
      <c r="E667" s="80" t="b">
        <v>0</v>
      </c>
      <c r="F667" s="80" t="b">
        <v>0</v>
      </c>
      <c r="G667" s="80" t="b">
        <v>0</v>
      </c>
    </row>
    <row r="668" spans="1:7" ht="15">
      <c r="A668" s="81" t="s">
        <v>2871</v>
      </c>
      <c r="B668" s="80">
        <v>3</v>
      </c>
      <c r="C668" s="104">
        <v>0.0005394802789677083</v>
      </c>
      <c r="D668" s="80" t="s">
        <v>3370</v>
      </c>
      <c r="E668" s="80" t="b">
        <v>0</v>
      </c>
      <c r="F668" s="80" t="b">
        <v>0</v>
      </c>
      <c r="G668" s="80" t="b">
        <v>0</v>
      </c>
    </row>
    <row r="669" spans="1:7" ht="15">
      <c r="A669" s="81" t="s">
        <v>2872</v>
      </c>
      <c r="B669" s="80">
        <v>3</v>
      </c>
      <c r="C669" s="104">
        <v>0.0007104914813761894</v>
      </c>
      <c r="D669" s="80" t="s">
        <v>3370</v>
      </c>
      <c r="E669" s="80" t="b">
        <v>0</v>
      </c>
      <c r="F669" s="80" t="b">
        <v>0</v>
      </c>
      <c r="G669" s="80" t="b">
        <v>0</v>
      </c>
    </row>
    <row r="670" spans="1:7" ht="15">
      <c r="A670" s="81" t="s">
        <v>2873</v>
      </c>
      <c r="B670" s="80">
        <v>3</v>
      </c>
      <c r="C670" s="104">
        <v>0.0005394802789677083</v>
      </c>
      <c r="D670" s="80" t="s">
        <v>3370</v>
      </c>
      <c r="E670" s="80" t="b">
        <v>0</v>
      </c>
      <c r="F670" s="80" t="b">
        <v>0</v>
      </c>
      <c r="G670" s="80" t="b">
        <v>0</v>
      </c>
    </row>
    <row r="671" spans="1:7" ht="15">
      <c r="A671" s="81" t="s">
        <v>2874</v>
      </c>
      <c r="B671" s="80">
        <v>3</v>
      </c>
      <c r="C671" s="104">
        <v>0.0005394802789677083</v>
      </c>
      <c r="D671" s="80" t="s">
        <v>3370</v>
      </c>
      <c r="E671" s="80" t="b">
        <v>0</v>
      </c>
      <c r="F671" s="80" t="b">
        <v>0</v>
      </c>
      <c r="G671" s="80" t="b">
        <v>0</v>
      </c>
    </row>
    <row r="672" spans="1:7" ht="15">
      <c r="A672" s="81" t="s">
        <v>2875</v>
      </c>
      <c r="B672" s="80">
        <v>3</v>
      </c>
      <c r="C672" s="104">
        <v>0.0005394802789677083</v>
      </c>
      <c r="D672" s="80" t="s">
        <v>3370</v>
      </c>
      <c r="E672" s="80" t="b">
        <v>0</v>
      </c>
      <c r="F672" s="80" t="b">
        <v>0</v>
      </c>
      <c r="G672" s="80" t="b">
        <v>0</v>
      </c>
    </row>
    <row r="673" spans="1:7" ht="15">
      <c r="A673" s="81" t="s">
        <v>2876</v>
      </c>
      <c r="B673" s="80">
        <v>3</v>
      </c>
      <c r="C673" s="104">
        <v>0.0005394802789677083</v>
      </c>
      <c r="D673" s="80" t="s">
        <v>3370</v>
      </c>
      <c r="E673" s="80" t="b">
        <v>0</v>
      </c>
      <c r="F673" s="80" t="b">
        <v>0</v>
      </c>
      <c r="G673" s="80" t="b">
        <v>0</v>
      </c>
    </row>
    <row r="674" spans="1:7" ht="15">
      <c r="A674" s="81" t="s">
        <v>2877</v>
      </c>
      <c r="B674" s="80">
        <v>3</v>
      </c>
      <c r="C674" s="104">
        <v>0.0007104914813761894</v>
      </c>
      <c r="D674" s="80" t="s">
        <v>3370</v>
      </c>
      <c r="E674" s="80" t="b">
        <v>0</v>
      </c>
      <c r="F674" s="80" t="b">
        <v>0</v>
      </c>
      <c r="G674" s="80" t="b">
        <v>0</v>
      </c>
    </row>
    <row r="675" spans="1:7" ht="15">
      <c r="A675" s="81" t="s">
        <v>2878</v>
      </c>
      <c r="B675" s="80">
        <v>3</v>
      </c>
      <c r="C675" s="104">
        <v>0.0005394802789677083</v>
      </c>
      <c r="D675" s="80" t="s">
        <v>3370</v>
      </c>
      <c r="E675" s="80" t="b">
        <v>0</v>
      </c>
      <c r="F675" s="80" t="b">
        <v>0</v>
      </c>
      <c r="G675" s="80" t="b">
        <v>0</v>
      </c>
    </row>
    <row r="676" spans="1:7" ht="15">
      <c r="A676" s="81" t="s">
        <v>2879</v>
      </c>
      <c r="B676" s="80">
        <v>3</v>
      </c>
      <c r="C676" s="104">
        <v>0.0005394802789677083</v>
      </c>
      <c r="D676" s="80" t="s">
        <v>3370</v>
      </c>
      <c r="E676" s="80" t="b">
        <v>0</v>
      </c>
      <c r="F676" s="80" t="b">
        <v>0</v>
      </c>
      <c r="G676" s="80" t="b">
        <v>0</v>
      </c>
    </row>
    <row r="677" spans="1:7" ht="15">
      <c r="A677" s="81" t="s">
        <v>2880</v>
      </c>
      <c r="B677" s="80">
        <v>3</v>
      </c>
      <c r="C677" s="104">
        <v>0.0007104914813761894</v>
      </c>
      <c r="D677" s="80" t="s">
        <v>3370</v>
      </c>
      <c r="E677" s="80" t="b">
        <v>0</v>
      </c>
      <c r="F677" s="80" t="b">
        <v>0</v>
      </c>
      <c r="G677" s="80" t="b">
        <v>0</v>
      </c>
    </row>
    <row r="678" spans="1:7" ht="15">
      <c r="A678" s="81" t="s">
        <v>2881</v>
      </c>
      <c r="B678" s="80">
        <v>2</v>
      </c>
      <c r="C678" s="104">
        <v>0.00047366098758412623</v>
      </c>
      <c r="D678" s="80" t="s">
        <v>3370</v>
      </c>
      <c r="E678" s="80" t="b">
        <v>0</v>
      </c>
      <c r="F678" s="80" t="b">
        <v>0</v>
      </c>
      <c r="G678" s="80" t="b">
        <v>0</v>
      </c>
    </row>
    <row r="679" spans="1:7" ht="15">
      <c r="A679" s="81" t="s">
        <v>2882</v>
      </c>
      <c r="B679" s="80">
        <v>2</v>
      </c>
      <c r="C679" s="104">
        <v>0.00040173028372176515</v>
      </c>
      <c r="D679" s="80" t="s">
        <v>3370</v>
      </c>
      <c r="E679" s="80" t="b">
        <v>0</v>
      </c>
      <c r="F679" s="80" t="b">
        <v>0</v>
      </c>
      <c r="G679" s="80" t="b">
        <v>0</v>
      </c>
    </row>
    <row r="680" spans="1:7" ht="15">
      <c r="A680" s="81" t="s">
        <v>2883</v>
      </c>
      <c r="B680" s="80">
        <v>2</v>
      </c>
      <c r="C680" s="104">
        <v>0.00040173028372176515</v>
      </c>
      <c r="D680" s="80" t="s">
        <v>3370</v>
      </c>
      <c r="E680" s="80" t="b">
        <v>0</v>
      </c>
      <c r="F680" s="80" t="b">
        <v>0</v>
      </c>
      <c r="G680" s="80" t="b">
        <v>0</v>
      </c>
    </row>
    <row r="681" spans="1:7" ht="15">
      <c r="A681" s="81" t="s">
        <v>2884</v>
      </c>
      <c r="B681" s="80">
        <v>2</v>
      </c>
      <c r="C681" s="104">
        <v>0.00047366098758412623</v>
      </c>
      <c r="D681" s="80" t="s">
        <v>3370</v>
      </c>
      <c r="E681" s="80" t="b">
        <v>0</v>
      </c>
      <c r="F681" s="80" t="b">
        <v>0</v>
      </c>
      <c r="G681" s="80" t="b">
        <v>0</v>
      </c>
    </row>
    <row r="682" spans="1:7" ht="15">
      <c r="A682" s="81" t="s">
        <v>2885</v>
      </c>
      <c r="B682" s="80">
        <v>2</v>
      </c>
      <c r="C682" s="104">
        <v>0.00040173028372176515</v>
      </c>
      <c r="D682" s="80" t="s">
        <v>3370</v>
      </c>
      <c r="E682" s="80" t="b">
        <v>0</v>
      </c>
      <c r="F682" s="80" t="b">
        <v>0</v>
      </c>
      <c r="G682" s="80" t="b">
        <v>0</v>
      </c>
    </row>
    <row r="683" spans="1:7" ht="15">
      <c r="A683" s="81" t="s">
        <v>2886</v>
      </c>
      <c r="B683" s="80">
        <v>2</v>
      </c>
      <c r="C683" s="104">
        <v>0.00040173028372176515</v>
      </c>
      <c r="D683" s="80" t="s">
        <v>3370</v>
      </c>
      <c r="E683" s="80" t="b">
        <v>1</v>
      </c>
      <c r="F683" s="80" t="b">
        <v>0</v>
      </c>
      <c r="G683" s="80" t="b">
        <v>0</v>
      </c>
    </row>
    <row r="684" spans="1:7" ht="15">
      <c r="A684" s="81" t="s">
        <v>2887</v>
      </c>
      <c r="B684" s="80">
        <v>2</v>
      </c>
      <c r="C684" s="104">
        <v>0.00047366098758412623</v>
      </c>
      <c r="D684" s="80" t="s">
        <v>3370</v>
      </c>
      <c r="E684" s="80" t="b">
        <v>0</v>
      </c>
      <c r="F684" s="80" t="b">
        <v>0</v>
      </c>
      <c r="G684" s="80" t="b">
        <v>0</v>
      </c>
    </row>
    <row r="685" spans="1:7" ht="15">
      <c r="A685" s="81" t="s">
        <v>2888</v>
      </c>
      <c r="B685" s="80">
        <v>2</v>
      </c>
      <c r="C685" s="104">
        <v>0.00040173028372176515</v>
      </c>
      <c r="D685" s="80" t="s">
        <v>3370</v>
      </c>
      <c r="E685" s="80" t="b">
        <v>0</v>
      </c>
      <c r="F685" s="80" t="b">
        <v>0</v>
      </c>
      <c r="G685" s="80" t="b">
        <v>0</v>
      </c>
    </row>
    <row r="686" spans="1:7" ht="15">
      <c r="A686" s="81" t="s">
        <v>2889</v>
      </c>
      <c r="B686" s="80">
        <v>2</v>
      </c>
      <c r="C686" s="104">
        <v>0.00040173028372176515</v>
      </c>
      <c r="D686" s="80" t="s">
        <v>3370</v>
      </c>
      <c r="E686" s="80" t="b">
        <v>0</v>
      </c>
      <c r="F686" s="80" t="b">
        <v>0</v>
      </c>
      <c r="G686" s="80" t="b">
        <v>0</v>
      </c>
    </row>
    <row r="687" spans="1:7" ht="15">
      <c r="A687" s="81" t="s">
        <v>2890</v>
      </c>
      <c r="B687" s="80">
        <v>2</v>
      </c>
      <c r="C687" s="104">
        <v>0.00040173028372176515</v>
      </c>
      <c r="D687" s="80" t="s">
        <v>3370</v>
      </c>
      <c r="E687" s="80" t="b">
        <v>0</v>
      </c>
      <c r="F687" s="80" t="b">
        <v>0</v>
      </c>
      <c r="G687" s="80" t="b">
        <v>0</v>
      </c>
    </row>
    <row r="688" spans="1:7" ht="15">
      <c r="A688" s="81" t="s">
        <v>2891</v>
      </c>
      <c r="B688" s="80">
        <v>2</v>
      </c>
      <c r="C688" s="104">
        <v>0.00047366098758412623</v>
      </c>
      <c r="D688" s="80" t="s">
        <v>3370</v>
      </c>
      <c r="E688" s="80" t="b">
        <v>0</v>
      </c>
      <c r="F688" s="80" t="b">
        <v>0</v>
      </c>
      <c r="G688" s="80" t="b">
        <v>0</v>
      </c>
    </row>
    <row r="689" spans="1:7" ht="15">
      <c r="A689" s="81" t="s">
        <v>2892</v>
      </c>
      <c r="B689" s="80">
        <v>2</v>
      </c>
      <c r="C689" s="104">
        <v>0.00047366098758412623</v>
      </c>
      <c r="D689" s="80" t="s">
        <v>3370</v>
      </c>
      <c r="E689" s="80" t="b">
        <v>0</v>
      </c>
      <c r="F689" s="80" t="b">
        <v>0</v>
      </c>
      <c r="G689" s="80" t="b">
        <v>0</v>
      </c>
    </row>
    <row r="690" spans="1:7" ht="15">
      <c r="A690" s="81" t="s">
        <v>2893</v>
      </c>
      <c r="B690" s="80">
        <v>2</v>
      </c>
      <c r="C690" s="104">
        <v>0.00040173028372176515</v>
      </c>
      <c r="D690" s="80" t="s">
        <v>3370</v>
      </c>
      <c r="E690" s="80" t="b">
        <v>0</v>
      </c>
      <c r="F690" s="80" t="b">
        <v>0</v>
      </c>
      <c r="G690" s="80" t="b">
        <v>0</v>
      </c>
    </row>
    <row r="691" spans="1:7" ht="15">
      <c r="A691" s="81" t="s">
        <v>2894</v>
      </c>
      <c r="B691" s="80">
        <v>2</v>
      </c>
      <c r="C691" s="104">
        <v>0.00040173028372176515</v>
      </c>
      <c r="D691" s="80" t="s">
        <v>3370</v>
      </c>
      <c r="E691" s="80" t="b">
        <v>0</v>
      </c>
      <c r="F691" s="80" t="b">
        <v>0</v>
      </c>
      <c r="G691" s="80" t="b">
        <v>0</v>
      </c>
    </row>
    <row r="692" spans="1:7" ht="15">
      <c r="A692" s="81" t="s">
        <v>2895</v>
      </c>
      <c r="B692" s="80">
        <v>2</v>
      </c>
      <c r="C692" s="104">
        <v>0.00040173028372176515</v>
      </c>
      <c r="D692" s="80" t="s">
        <v>3370</v>
      </c>
      <c r="E692" s="80" t="b">
        <v>0</v>
      </c>
      <c r="F692" s="80" t="b">
        <v>0</v>
      </c>
      <c r="G692" s="80" t="b">
        <v>0</v>
      </c>
    </row>
    <row r="693" spans="1:7" ht="15">
      <c r="A693" s="81" t="s">
        <v>2896</v>
      </c>
      <c r="B693" s="80">
        <v>2</v>
      </c>
      <c r="C693" s="104">
        <v>0.00047366098758412623</v>
      </c>
      <c r="D693" s="80" t="s">
        <v>3370</v>
      </c>
      <c r="E693" s="80" t="b">
        <v>0</v>
      </c>
      <c r="F693" s="80" t="b">
        <v>0</v>
      </c>
      <c r="G693" s="80" t="b">
        <v>0</v>
      </c>
    </row>
    <row r="694" spans="1:7" ht="15">
      <c r="A694" s="81" t="s">
        <v>2897</v>
      </c>
      <c r="B694" s="80">
        <v>2</v>
      </c>
      <c r="C694" s="104">
        <v>0.00040173028372176515</v>
      </c>
      <c r="D694" s="80" t="s">
        <v>3370</v>
      </c>
      <c r="E694" s="80" t="b">
        <v>0</v>
      </c>
      <c r="F694" s="80" t="b">
        <v>0</v>
      </c>
      <c r="G694" s="80" t="b">
        <v>0</v>
      </c>
    </row>
    <row r="695" spans="1:7" ht="15">
      <c r="A695" s="81" t="s">
        <v>2898</v>
      </c>
      <c r="B695" s="80">
        <v>2</v>
      </c>
      <c r="C695" s="104">
        <v>0.00047366098758412623</v>
      </c>
      <c r="D695" s="80" t="s">
        <v>3370</v>
      </c>
      <c r="E695" s="80" t="b">
        <v>0</v>
      </c>
      <c r="F695" s="80" t="b">
        <v>0</v>
      </c>
      <c r="G695" s="80" t="b">
        <v>0</v>
      </c>
    </row>
    <row r="696" spans="1:7" ht="15">
      <c r="A696" s="81" t="s">
        <v>2899</v>
      </c>
      <c r="B696" s="80">
        <v>2</v>
      </c>
      <c r="C696" s="104">
        <v>0.00040173028372176515</v>
      </c>
      <c r="D696" s="80" t="s">
        <v>3370</v>
      </c>
      <c r="E696" s="80" t="b">
        <v>0</v>
      </c>
      <c r="F696" s="80" t="b">
        <v>0</v>
      </c>
      <c r="G696" s="80" t="b">
        <v>0</v>
      </c>
    </row>
    <row r="697" spans="1:7" ht="15">
      <c r="A697" s="81" t="s">
        <v>2900</v>
      </c>
      <c r="B697" s="80">
        <v>2</v>
      </c>
      <c r="C697" s="104">
        <v>0.00040173028372176515</v>
      </c>
      <c r="D697" s="80" t="s">
        <v>3370</v>
      </c>
      <c r="E697" s="80" t="b">
        <v>0</v>
      </c>
      <c r="F697" s="80" t="b">
        <v>0</v>
      </c>
      <c r="G697" s="80" t="b">
        <v>0</v>
      </c>
    </row>
    <row r="698" spans="1:7" ht="15">
      <c r="A698" s="81" t="s">
        <v>2901</v>
      </c>
      <c r="B698" s="80">
        <v>2</v>
      </c>
      <c r="C698" s="104">
        <v>0.00040173028372176515</v>
      </c>
      <c r="D698" s="80" t="s">
        <v>3370</v>
      </c>
      <c r="E698" s="80" t="b">
        <v>0</v>
      </c>
      <c r="F698" s="80" t="b">
        <v>0</v>
      </c>
      <c r="G698" s="80" t="b">
        <v>0</v>
      </c>
    </row>
    <row r="699" spans="1:7" ht="15">
      <c r="A699" s="81" t="s">
        <v>2902</v>
      </c>
      <c r="B699" s="80">
        <v>2</v>
      </c>
      <c r="C699" s="104">
        <v>0.00040173028372176515</v>
      </c>
      <c r="D699" s="80" t="s">
        <v>3370</v>
      </c>
      <c r="E699" s="80" t="b">
        <v>0</v>
      </c>
      <c r="F699" s="80" t="b">
        <v>0</v>
      </c>
      <c r="G699" s="80" t="b">
        <v>0</v>
      </c>
    </row>
    <row r="700" spans="1:7" ht="15">
      <c r="A700" s="81" t="s">
        <v>2903</v>
      </c>
      <c r="B700" s="80">
        <v>2</v>
      </c>
      <c r="C700" s="104">
        <v>0.00047366098758412623</v>
      </c>
      <c r="D700" s="80" t="s">
        <v>3370</v>
      </c>
      <c r="E700" s="80" t="b">
        <v>0</v>
      </c>
      <c r="F700" s="80" t="b">
        <v>0</v>
      </c>
      <c r="G700" s="80" t="b">
        <v>0</v>
      </c>
    </row>
    <row r="701" spans="1:7" ht="15">
      <c r="A701" s="81" t="s">
        <v>2904</v>
      </c>
      <c r="B701" s="80">
        <v>2</v>
      </c>
      <c r="C701" s="104">
        <v>0.00040173028372176515</v>
      </c>
      <c r="D701" s="80" t="s">
        <v>3370</v>
      </c>
      <c r="E701" s="80" t="b">
        <v>0</v>
      </c>
      <c r="F701" s="80" t="b">
        <v>0</v>
      </c>
      <c r="G701" s="80" t="b">
        <v>0</v>
      </c>
    </row>
    <row r="702" spans="1:7" ht="15">
      <c r="A702" s="81" t="s">
        <v>2905</v>
      </c>
      <c r="B702" s="80">
        <v>2</v>
      </c>
      <c r="C702" s="104">
        <v>0.00040173028372176515</v>
      </c>
      <c r="D702" s="80" t="s">
        <v>3370</v>
      </c>
      <c r="E702" s="80" t="b">
        <v>0</v>
      </c>
      <c r="F702" s="80" t="b">
        <v>0</v>
      </c>
      <c r="G702" s="80" t="b">
        <v>0</v>
      </c>
    </row>
    <row r="703" spans="1:7" ht="15">
      <c r="A703" s="81" t="s">
        <v>2906</v>
      </c>
      <c r="B703" s="80">
        <v>2</v>
      </c>
      <c r="C703" s="104">
        <v>0.00047366098758412623</v>
      </c>
      <c r="D703" s="80" t="s">
        <v>3370</v>
      </c>
      <c r="E703" s="80" t="b">
        <v>0</v>
      </c>
      <c r="F703" s="80" t="b">
        <v>0</v>
      </c>
      <c r="G703" s="80" t="b">
        <v>0</v>
      </c>
    </row>
    <row r="704" spans="1:7" ht="15">
      <c r="A704" s="81" t="s">
        <v>2907</v>
      </c>
      <c r="B704" s="80">
        <v>2</v>
      </c>
      <c r="C704" s="104">
        <v>0.00047366098758412623</v>
      </c>
      <c r="D704" s="80" t="s">
        <v>3370</v>
      </c>
      <c r="E704" s="80" t="b">
        <v>0</v>
      </c>
      <c r="F704" s="80" t="b">
        <v>0</v>
      </c>
      <c r="G704" s="80" t="b">
        <v>0</v>
      </c>
    </row>
    <row r="705" spans="1:7" ht="15">
      <c r="A705" s="81" t="s">
        <v>2908</v>
      </c>
      <c r="B705" s="80">
        <v>2</v>
      </c>
      <c r="C705" s="104">
        <v>0.00047366098758412623</v>
      </c>
      <c r="D705" s="80" t="s">
        <v>3370</v>
      </c>
      <c r="E705" s="80" t="b">
        <v>0</v>
      </c>
      <c r="F705" s="80" t="b">
        <v>0</v>
      </c>
      <c r="G705" s="80" t="b">
        <v>0</v>
      </c>
    </row>
    <row r="706" spans="1:7" ht="15">
      <c r="A706" s="81" t="s">
        <v>2909</v>
      </c>
      <c r="B706" s="80">
        <v>2</v>
      </c>
      <c r="C706" s="104">
        <v>0.00040173028372176515</v>
      </c>
      <c r="D706" s="80" t="s">
        <v>3370</v>
      </c>
      <c r="E706" s="80" t="b">
        <v>0</v>
      </c>
      <c r="F706" s="80" t="b">
        <v>0</v>
      </c>
      <c r="G706" s="80" t="b">
        <v>0</v>
      </c>
    </row>
    <row r="707" spans="1:7" ht="15">
      <c r="A707" s="81" t="s">
        <v>2910</v>
      </c>
      <c r="B707" s="80">
        <v>2</v>
      </c>
      <c r="C707" s="104">
        <v>0.00047366098758412623</v>
      </c>
      <c r="D707" s="80" t="s">
        <v>3370</v>
      </c>
      <c r="E707" s="80" t="b">
        <v>0</v>
      </c>
      <c r="F707" s="80" t="b">
        <v>0</v>
      </c>
      <c r="G707" s="80" t="b">
        <v>0</v>
      </c>
    </row>
    <row r="708" spans="1:7" ht="15">
      <c r="A708" s="81" t="s">
        <v>2911</v>
      </c>
      <c r="B708" s="80">
        <v>2</v>
      </c>
      <c r="C708" s="104">
        <v>0.00047366098758412623</v>
      </c>
      <c r="D708" s="80" t="s">
        <v>3370</v>
      </c>
      <c r="E708" s="80" t="b">
        <v>0</v>
      </c>
      <c r="F708" s="80" t="b">
        <v>0</v>
      </c>
      <c r="G708" s="80" t="b">
        <v>0</v>
      </c>
    </row>
    <row r="709" spans="1:7" ht="15">
      <c r="A709" s="81" t="s">
        <v>2912</v>
      </c>
      <c r="B709" s="80">
        <v>2</v>
      </c>
      <c r="C709" s="104">
        <v>0.00040173028372176515</v>
      </c>
      <c r="D709" s="80" t="s">
        <v>3370</v>
      </c>
      <c r="E709" s="80" t="b">
        <v>0</v>
      </c>
      <c r="F709" s="80" t="b">
        <v>0</v>
      </c>
      <c r="G709" s="80" t="b">
        <v>0</v>
      </c>
    </row>
    <row r="710" spans="1:7" ht="15">
      <c r="A710" s="81" t="s">
        <v>2913</v>
      </c>
      <c r="B710" s="80">
        <v>2</v>
      </c>
      <c r="C710" s="104">
        <v>0.00040173028372176515</v>
      </c>
      <c r="D710" s="80" t="s">
        <v>3370</v>
      </c>
      <c r="E710" s="80" t="b">
        <v>0</v>
      </c>
      <c r="F710" s="80" t="b">
        <v>0</v>
      </c>
      <c r="G710" s="80" t="b">
        <v>0</v>
      </c>
    </row>
    <row r="711" spans="1:7" ht="15">
      <c r="A711" s="81" t="s">
        <v>2914</v>
      </c>
      <c r="B711" s="80">
        <v>2</v>
      </c>
      <c r="C711" s="104">
        <v>0.00040173028372176515</v>
      </c>
      <c r="D711" s="80" t="s">
        <v>3370</v>
      </c>
      <c r="E711" s="80" t="b">
        <v>0</v>
      </c>
      <c r="F711" s="80" t="b">
        <v>0</v>
      </c>
      <c r="G711" s="80" t="b">
        <v>0</v>
      </c>
    </row>
    <row r="712" spans="1:7" ht="15">
      <c r="A712" s="81" t="s">
        <v>2915</v>
      </c>
      <c r="B712" s="80">
        <v>2</v>
      </c>
      <c r="C712" s="104">
        <v>0.00040173028372176515</v>
      </c>
      <c r="D712" s="80" t="s">
        <v>3370</v>
      </c>
      <c r="E712" s="80" t="b">
        <v>0</v>
      </c>
      <c r="F712" s="80" t="b">
        <v>0</v>
      </c>
      <c r="G712" s="80" t="b">
        <v>0</v>
      </c>
    </row>
    <row r="713" spans="1:7" ht="15">
      <c r="A713" s="81" t="s">
        <v>2916</v>
      </c>
      <c r="B713" s="80">
        <v>2</v>
      </c>
      <c r="C713" s="104">
        <v>0.00040173028372176515</v>
      </c>
      <c r="D713" s="80" t="s">
        <v>3370</v>
      </c>
      <c r="E713" s="80" t="b">
        <v>0</v>
      </c>
      <c r="F713" s="80" t="b">
        <v>0</v>
      </c>
      <c r="G713" s="80" t="b">
        <v>0</v>
      </c>
    </row>
    <row r="714" spans="1:7" ht="15">
      <c r="A714" s="81" t="s">
        <v>2917</v>
      </c>
      <c r="B714" s="80">
        <v>2</v>
      </c>
      <c r="C714" s="104">
        <v>0.00040173028372176515</v>
      </c>
      <c r="D714" s="80" t="s">
        <v>3370</v>
      </c>
      <c r="E714" s="80" t="b">
        <v>0</v>
      </c>
      <c r="F714" s="80" t="b">
        <v>0</v>
      </c>
      <c r="G714" s="80" t="b">
        <v>0</v>
      </c>
    </row>
    <row r="715" spans="1:7" ht="15">
      <c r="A715" s="81" t="s">
        <v>2918</v>
      </c>
      <c r="B715" s="80">
        <v>2</v>
      </c>
      <c r="C715" s="104">
        <v>0.00047366098758412623</v>
      </c>
      <c r="D715" s="80" t="s">
        <v>3370</v>
      </c>
      <c r="E715" s="80" t="b">
        <v>0</v>
      </c>
      <c r="F715" s="80" t="b">
        <v>0</v>
      </c>
      <c r="G715" s="80" t="b">
        <v>0</v>
      </c>
    </row>
    <row r="716" spans="1:7" ht="15">
      <c r="A716" s="81" t="s">
        <v>2919</v>
      </c>
      <c r="B716" s="80">
        <v>2</v>
      </c>
      <c r="C716" s="104">
        <v>0.00040173028372176515</v>
      </c>
      <c r="D716" s="80" t="s">
        <v>3370</v>
      </c>
      <c r="E716" s="80" t="b">
        <v>0</v>
      </c>
      <c r="F716" s="80" t="b">
        <v>0</v>
      </c>
      <c r="G716" s="80" t="b">
        <v>0</v>
      </c>
    </row>
    <row r="717" spans="1:7" ht="15">
      <c r="A717" s="81" t="s">
        <v>2920</v>
      </c>
      <c r="B717" s="80">
        <v>2</v>
      </c>
      <c r="C717" s="104">
        <v>0.00047366098758412623</v>
      </c>
      <c r="D717" s="80" t="s">
        <v>3370</v>
      </c>
      <c r="E717" s="80" t="b">
        <v>0</v>
      </c>
      <c r="F717" s="80" t="b">
        <v>0</v>
      </c>
      <c r="G717" s="80" t="b">
        <v>0</v>
      </c>
    </row>
    <row r="718" spans="1:7" ht="15">
      <c r="A718" s="81" t="s">
        <v>2921</v>
      </c>
      <c r="B718" s="80">
        <v>2</v>
      </c>
      <c r="C718" s="104">
        <v>0.00040173028372176515</v>
      </c>
      <c r="D718" s="80" t="s">
        <v>3370</v>
      </c>
      <c r="E718" s="80" t="b">
        <v>0</v>
      </c>
      <c r="F718" s="80" t="b">
        <v>0</v>
      </c>
      <c r="G718" s="80" t="b">
        <v>0</v>
      </c>
    </row>
    <row r="719" spans="1:7" ht="15">
      <c r="A719" s="81" t="s">
        <v>2922</v>
      </c>
      <c r="B719" s="80">
        <v>2</v>
      </c>
      <c r="C719" s="104">
        <v>0.00040173028372176515</v>
      </c>
      <c r="D719" s="80" t="s">
        <v>3370</v>
      </c>
      <c r="E719" s="80" t="b">
        <v>0</v>
      </c>
      <c r="F719" s="80" t="b">
        <v>0</v>
      </c>
      <c r="G719" s="80" t="b">
        <v>0</v>
      </c>
    </row>
    <row r="720" spans="1:7" ht="15">
      <c r="A720" s="81" t="s">
        <v>2923</v>
      </c>
      <c r="B720" s="80">
        <v>2</v>
      </c>
      <c r="C720" s="104">
        <v>0.00040173028372176515</v>
      </c>
      <c r="D720" s="80" t="s">
        <v>3370</v>
      </c>
      <c r="E720" s="80" t="b">
        <v>0</v>
      </c>
      <c r="F720" s="80" t="b">
        <v>0</v>
      </c>
      <c r="G720" s="80" t="b">
        <v>0</v>
      </c>
    </row>
    <row r="721" spans="1:7" ht="15">
      <c r="A721" s="81" t="s">
        <v>2924</v>
      </c>
      <c r="B721" s="80">
        <v>2</v>
      </c>
      <c r="C721" s="104">
        <v>0.00040173028372176515</v>
      </c>
      <c r="D721" s="80" t="s">
        <v>3370</v>
      </c>
      <c r="E721" s="80" t="b">
        <v>0</v>
      </c>
      <c r="F721" s="80" t="b">
        <v>0</v>
      </c>
      <c r="G721" s="80" t="b">
        <v>0</v>
      </c>
    </row>
    <row r="722" spans="1:7" ht="15">
      <c r="A722" s="81" t="s">
        <v>2925</v>
      </c>
      <c r="B722" s="80">
        <v>2</v>
      </c>
      <c r="C722" s="104">
        <v>0.00040173028372176515</v>
      </c>
      <c r="D722" s="80" t="s">
        <v>3370</v>
      </c>
      <c r="E722" s="80" t="b">
        <v>0</v>
      </c>
      <c r="F722" s="80" t="b">
        <v>0</v>
      </c>
      <c r="G722" s="80" t="b">
        <v>0</v>
      </c>
    </row>
    <row r="723" spans="1:7" ht="15">
      <c r="A723" s="81" t="s">
        <v>2926</v>
      </c>
      <c r="B723" s="80">
        <v>2</v>
      </c>
      <c r="C723" s="104">
        <v>0.00040173028372176515</v>
      </c>
      <c r="D723" s="80" t="s">
        <v>3370</v>
      </c>
      <c r="E723" s="80" t="b">
        <v>0</v>
      </c>
      <c r="F723" s="80" t="b">
        <v>0</v>
      </c>
      <c r="G723" s="80" t="b">
        <v>0</v>
      </c>
    </row>
    <row r="724" spans="1:7" ht="15">
      <c r="A724" s="81" t="s">
        <v>2927</v>
      </c>
      <c r="B724" s="80">
        <v>2</v>
      </c>
      <c r="C724" s="104">
        <v>0.00040173028372176515</v>
      </c>
      <c r="D724" s="80" t="s">
        <v>3370</v>
      </c>
      <c r="E724" s="80" t="b">
        <v>0</v>
      </c>
      <c r="F724" s="80" t="b">
        <v>0</v>
      </c>
      <c r="G724" s="80" t="b">
        <v>0</v>
      </c>
    </row>
    <row r="725" spans="1:7" ht="15">
      <c r="A725" s="81" t="s">
        <v>2928</v>
      </c>
      <c r="B725" s="80">
        <v>2</v>
      </c>
      <c r="C725" s="104">
        <v>0.00040173028372176515</v>
      </c>
      <c r="D725" s="80" t="s">
        <v>3370</v>
      </c>
      <c r="E725" s="80" t="b">
        <v>0</v>
      </c>
      <c r="F725" s="80" t="b">
        <v>0</v>
      </c>
      <c r="G725" s="80" t="b">
        <v>0</v>
      </c>
    </row>
    <row r="726" spans="1:7" ht="15">
      <c r="A726" s="81" t="s">
        <v>2929</v>
      </c>
      <c r="B726" s="80">
        <v>2</v>
      </c>
      <c r="C726" s="104">
        <v>0.00040173028372176515</v>
      </c>
      <c r="D726" s="80" t="s">
        <v>3370</v>
      </c>
      <c r="E726" s="80" t="b">
        <v>0</v>
      </c>
      <c r="F726" s="80" t="b">
        <v>0</v>
      </c>
      <c r="G726" s="80" t="b">
        <v>0</v>
      </c>
    </row>
    <row r="727" spans="1:7" ht="15">
      <c r="A727" s="81" t="s">
        <v>2930</v>
      </c>
      <c r="B727" s="80">
        <v>2</v>
      </c>
      <c r="C727" s="104">
        <v>0.00047366098758412623</v>
      </c>
      <c r="D727" s="80" t="s">
        <v>3370</v>
      </c>
      <c r="E727" s="80" t="b">
        <v>0</v>
      </c>
      <c r="F727" s="80" t="b">
        <v>0</v>
      </c>
      <c r="G727" s="80" t="b">
        <v>0</v>
      </c>
    </row>
    <row r="728" spans="1:7" ht="15">
      <c r="A728" s="81" t="s">
        <v>2931</v>
      </c>
      <c r="B728" s="80">
        <v>2</v>
      </c>
      <c r="C728" s="104">
        <v>0.00040173028372176515</v>
      </c>
      <c r="D728" s="80" t="s">
        <v>3370</v>
      </c>
      <c r="E728" s="80" t="b">
        <v>0</v>
      </c>
      <c r="F728" s="80" t="b">
        <v>0</v>
      </c>
      <c r="G728" s="80" t="b">
        <v>0</v>
      </c>
    </row>
    <row r="729" spans="1:7" ht="15">
      <c r="A729" s="81" t="s">
        <v>2932</v>
      </c>
      <c r="B729" s="80">
        <v>2</v>
      </c>
      <c r="C729" s="104">
        <v>0.00047366098758412623</v>
      </c>
      <c r="D729" s="80" t="s">
        <v>3370</v>
      </c>
      <c r="E729" s="80" t="b">
        <v>0</v>
      </c>
      <c r="F729" s="80" t="b">
        <v>0</v>
      </c>
      <c r="G729" s="80" t="b">
        <v>0</v>
      </c>
    </row>
    <row r="730" spans="1:7" ht="15">
      <c r="A730" s="81" t="s">
        <v>2933</v>
      </c>
      <c r="B730" s="80">
        <v>2</v>
      </c>
      <c r="C730" s="104">
        <v>0.00047366098758412623</v>
      </c>
      <c r="D730" s="80" t="s">
        <v>3370</v>
      </c>
      <c r="E730" s="80" t="b">
        <v>0</v>
      </c>
      <c r="F730" s="80" t="b">
        <v>0</v>
      </c>
      <c r="G730" s="80" t="b">
        <v>0</v>
      </c>
    </row>
    <row r="731" spans="1:7" ht="15">
      <c r="A731" s="81" t="s">
        <v>2934</v>
      </c>
      <c r="B731" s="80">
        <v>2</v>
      </c>
      <c r="C731" s="104">
        <v>0.00040173028372176515</v>
      </c>
      <c r="D731" s="80" t="s">
        <v>3370</v>
      </c>
      <c r="E731" s="80" t="b">
        <v>0</v>
      </c>
      <c r="F731" s="80" t="b">
        <v>0</v>
      </c>
      <c r="G731" s="80" t="b">
        <v>0</v>
      </c>
    </row>
    <row r="732" spans="1:7" ht="15">
      <c r="A732" s="81" t="s">
        <v>2935</v>
      </c>
      <c r="B732" s="80">
        <v>2</v>
      </c>
      <c r="C732" s="104">
        <v>0.00047366098758412623</v>
      </c>
      <c r="D732" s="80" t="s">
        <v>3370</v>
      </c>
      <c r="E732" s="80" t="b">
        <v>0</v>
      </c>
      <c r="F732" s="80" t="b">
        <v>0</v>
      </c>
      <c r="G732" s="80" t="b">
        <v>0</v>
      </c>
    </row>
    <row r="733" spans="1:7" ht="15">
      <c r="A733" s="81" t="s">
        <v>2936</v>
      </c>
      <c r="B733" s="80">
        <v>2</v>
      </c>
      <c r="C733" s="104">
        <v>0.00040173028372176515</v>
      </c>
      <c r="D733" s="80" t="s">
        <v>3370</v>
      </c>
      <c r="E733" s="80" t="b">
        <v>0</v>
      </c>
      <c r="F733" s="80" t="b">
        <v>0</v>
      </c>
      <c r="G733" s="80" t="b">
        <v>0</v>
      </c>
    </row>
    <row r="734" spans="1:7" ht="15">
      <c r="A734" s="81" t="s">
        <v>2937</v>
      </c>
      <c r="B734" s="80">
        <v>2</v>
      </c>
      <c r="C734" s="104">
        <v>0.00040173028372176515</v>
      </c>
      <c r="D734" s="80" t="s">
        <v>3370</v>
      </c>
      <c r="E734" s="80" t="b">
        <v>0</v>
      </c>
      <c r="F734" s="80" t="b">
        <v>0</v>
      </c>
      <c r="G734" s="80" t="b">
        <v>0</v>
      </c>
    </row>
    <row r="735" spans="1:7" ht="15">
      <c r="A735" s="81" t="s">
        <v>2938</v>
      </c>
      <c r="B735" s="80">
        <v>2</v>
      </c>
      <c r="C735" s="104">
        <v>0.00040173028372176515</v>
      </c>
      <c r="D735" s="80" t="s">
        <v>3370</v>
      </c>
      <c r="E735" s="80" t="b">
        <v>0</v>
      </c>
      <c r="F735" s="80" t="b">
        <v>0</v>
      </c>
      <c r="G735" s="80" t="b">
        <v>0</v>
      </c>
    </row>
    <row r="736" spans="1:7" ht="15">
      <c r="A736" s="81" t="s">
        <v>2939</v>
      </c>
      <c r="B736" s="80">
        <v>2</v>
      </c>
      <c r="C736" s="104">
        <v>0.00047366098758412623</v>
      </c>
      <c r="D736" s="80" t="s">
        <v>3370</v>
      </c>
      <c r="E736" s="80" t="b">
        <v>0</v>
      </c>
      <c r="F736" s="80" t="b">
        <v>0</v>
      </c>
      <c r="G736" s="80" t="b">
        <v>0</v>
      </c>
    </row>
    <row r="737" spans="1:7" ht="15">
      <c r="A737" s="81" t="s">
        <v>2940</v>
      </c>
      <c r="B737" s="80">
        <v>2</v>
      </c>
      <c r="C737" s="104">
        <v>0.00047366098758412623</v>
      </c>
      <c r="D737" s="80" t="s">
        <v>3370</v>
      </c>
      <c r="E737" s="80" t="b">
        <v>0</v>
      </c>
      <c r="F737" s="80" t="b">
        <v>0</v>
      </c>
      <c r="G737" s="80" t="b">
        <v>0</v>
      </c>
    </row>
    <row r="738" spans="1:7" ht="15">
      <c r="A738" s="81" t="s">
        <v>2941</v>
      </c>
      <c r="B738" s="80">
        <v>2</v>
      </c>
      <c r="C738" s="104">
        <v>0.00047366098758412623</v>
      </c>
      <c r="D738" s="80" t="s">
        <v>3370</v>
      </c>
      <c r="E738" s="80" t="b">
        <v>0</v>
      </c>
      <c r="F738" s="80" t="b">
        <v>0</v>
      </c>
      <c r="G738" s="80" t="b">
        <v>0</v>
      </c>
    </row>
    <row r="739" spans="1:7" ht="15">
      <c r="A739" s="81" t="s">
        <v>2942</v>
      </c>
      <c r="B739" s="80">
        <v>2</v>
      </c>
      <c r="C739" s="104">
        <v>0.00047366098758412623</v>
      </c>
      <c r="D739" s="80" t="s">
        <v>3370</v>
      </c>
      <c r="E739" s="80" t="b">
        <v>0</v>
      </c>
      <c r="F739" s="80" t="b">
        <v>0</v>
      </c>
      <c r="G739" s="80" t="b">
        <v>0</v>
      </c>
    </row>
    <row r="740" spans="1:7" ht="15">
      <c r="A740" s="81" t="s">
        <v>2943</v>
      </c>
      <c r="B740" s="80">
        <v>2</v>
      </c>
      <c r="C740" s="104">
        <v>0.00047366098758412623</v>
      </c>
      <c r="D740" s="80" t="s">
        <v>3370</v>
      </c>
      <c r="E740" s="80" t="b">
        <v>0</v>
      </c>
      <c r="F740" s="80" t="b">
        <v>0</v>
      </c>
      <c r="G740" s="80" t="b">
        <v>0</v>
      </c>
    </row>
    <row r="741" spans="1:7" ht="15">
      <c r="A741" s="81" t="s">
        <v>2944</v>
      </c>
      <c r="B741" s="80">
        <v>2</v>
      </c>
      <c r="C741" s="104">
        <v>0.00040173028372176515</v>
      </c>
      <c r="D741" s="80" t="s">
        <v>3370</v>
      </c>
      <c r="E741" s="80" t="b">
        <v>0</v>
      </c>
      <c r="F741" s="80" t="b">
        <v>0</v>
      </c>
      <c r="G741" s="80" t="b">
        <v>0</v>
      </c>
    </row>
    <row r="742" spans="1:7" ht="15">
      <c r="A742" s="81" t="s">
        <v>2945</v>
      </c>
      <c r="B742" s="80">
        <v>2</v>
      </c>
      <c r="C742" s="104">
        <v>0.00047366098758412623</v>
      </c>
      <c r="D742" s="80" t="s">
        <v>3370</v>
      </c>
      <c r="E742" s="80" t="b">
        <v>0</v>
      </c>
      <c r="F742" s="80" t="b">
        <v>0</v>
      </c>
      <c r="G742" s="80" t="b">
        <v>0</v>
      </c>
    </row>
    <row r="743" spans="1:7" ht="15">
      <c r="A743" s="81" t="s">
        <v>2946</v>
      </c>
      <c r="B743" s="80">
        <v>2</v>
      </c>
      <c r="C743" s="104">
        <v>0.00040173028372176515</v>
      </c>
      <c r="D743" s="80" t="s">
        <v>3370</v>
      </c>
      <c r="E743" s="80" t="b">
        <v>0</v>
      </c>
      <c r="F743" s="80" t="b">
        <v>0</v>
      </c>
      <c r="G743" s="80" t="b">
        <v>0</v>
      </c>
    </row>
    <row r="744" spans="1:7" ht="15">
      <c r="A744" s="81" t="s">
        <v>2947</v>
      </c>
      <c r="B744" s="80">
        <v>2</v>
      </c>
      <c r="C744" s="104">
        <v>0.00040173028372176515</v>
      </c>
      <c r="D744" s="80" t="s">
        <v>3370</v>
      </c>
      <c r="E744" s="80" t="b">
        <v>0</v>
      </c>
      <c r="F744" s="80" t="b">
        <v>0</v>
      </c>
      <c r="G744" s="80" t="b">
        <v>0</v>
      </c>
    </row>
    <row r="745" spans="1:7" ht="15">
      <c r="A745" s="81" t="s">
        <v>2948</v>
      </c>
      <c r="B745" s="80">
        <v>2</v>
      </c>
      <c r="C745" s="104">
        <v>0.00040173028372176515</v>
      </c>
      <c r="D745" s="80" t="s">
        <v>3370</v>
      </c>
      <c r="E745" s="80" t="b">
        <v>0</v>
      </c>
      <c r="F745" s="80" t="b">
        <v>0</v>
      </c>
      <c r="G745" s="80" t="b">
        <v>0</v>
      </c>
    </row>
    <row r="746" spans="1:7" ht="15">
      <c r="A746" s="81" t="s">
        <v>2949</v>
      </c>
      <c r="B746" s="80">
        <v>2</v>
      </c>
      <c r="C746" s="104">
        <v>0.00040173028372176515</v>
      </c>
      <c r="D746" s="80" t="s">
        <v>3370</v>
      </c>
      <c r="E746" s="80" t="b">
        <v>0</v>
      </c>
      <c r="F746" s="80" t="b">
        <v>0</v>
      </c>
      <c r="G746" s="80" t="b">
        <v>0</v>
      </c>
    </row>
    <row r="747" spans="1:7" ht="15">
      <c r="A747" s="81" t="s">
        <v>2950</v>
      </c>
      <c r="B747" s="80">
        <v>2</v>
      </c>
      <c r="C747" s="104">
        <v>0.00040173028372176515</v>
      </c>
      <c r="D747" s="80" t="s">
        <v>3370</v>
      </c>
      <c r="E747" s="80" t="b">
        <v>0</v>
      </c>
      <c r="F747" s="80" t="b">
        <v>0</v>
      </c>
      <c r="G747" s="80" t="b">
        <v>0</v>
      </c>
    </row>
    <row r="748" spans="1:7" ht="15">
      <c r="A748" s="81" t="s">
        <v>2951</v>
      </c>
      <c r="B748" s="80">
        <v>2</v>
      </c>
      <c r="C748" s="104">
        <v>0.00040173028372176515</v>
      </c>
      <c r="D748" s="80" t="s">
        <v>3370</v>
      </c>
      <c r="E748" s="80" t="b">
        <v>0</v>
      </c>
      <c r="F748" s="80" t="b">
        <v>0</v>
      </c>
      <c r="G748" s="80" t="b">
        <v>0</v>
      </c>
    </row>
    <row r="749" spans="1:7" ht="15">
      <c r="A749" s="81" t="s">
        <v>2952</v>
      </c>
      <c r="B749" s="80">
        <v>2</v>
      </c>
      <c r="C749" s="104">
        <v>0.00040173028372176515</v>
      </c>
      <c r="D749" s="80" t="s">
        <v>3370</v>
      </c>
      <c r="E749" s="80" t="b">
        <v>0</v>
      </c>
      <c r="F749" s="80" t="b">
        <v>0</v>
      </c>
      <c r="G749" s="80" t="b">
        <v>0</v>
      </c>
    </row>
    <row r="750" spans="1:7" ht="15">
      <c r="A750" s="81" t="s">
        <v>2953</v>
      </c>
      <c r="B750" s="80">
        <v>2</v>
      </c>
      <c r="C750" s="104">
        <v>0.00047366098758412623</v>
      </c>
      <c r="D750" s="80" t="s">
        <v>3370</v>
      </c>
      <c r="E750" s="80" t="b">
        <v>0</v>
      </c>
      <c r="F750" s="80" t="b">
        <v>0</v>
      </c>
      <c r="G750" s="80" t="b">
        <v>0</v>
      </c>
    </row>
    <row r="751" spans="1:7" ht="15">
      <c r="A751" s="81" t="s">
        <v>2954</v>
      </c>
      <c r="B751" s="80">
        <v>2</v>
      </c>
      <c r="C751" s="104">
        <v>0.00047366098758412623</v>
      </c>
      <c r="D751" s="80" t="s">
        <v>3370</v>
      </c>
      <c r="E751" s="80" t="b">
        <v>0</v>
      </c>
      <c r="F751" s="80" t="b">
        <v>0</v>
      </c>
      <c r="G751" s="80" t="b">
        <v>0</v>
      </c>
    </row>
    <row r="752" spans="1:7" ht="15">
      <c r="A752" s="81" t="s">
        <v>2955</v>
      </c>
      <c r="B752" s="80">
        <v>2</v>
      </c>
      <c r="C752" s="104">
        <v>0.00040173028372176515</v>
      </c>
      <c r="D752" s="80" t="s">
        <v>3370</v>
      </c>
      <c r="E752" s="80" t="b">
        <v>0</v>
      </c>
      <c r="F752" s="80" t="b">
        <v>0</v>
      </c>
      <c r="G752" s="80" t="b">
        <v>0</v>
      </c>
    </row>
    <row r="753" spans="1:7" ht="15">
      <c r="A753" s="81" t="s">
        <v>2956</v>
      </c>
      <c r="B753" s="80">
        <v>2</v>
      </c>
      <c r="C753" s="104">
        <v>0.00047366098758412623</v>
      </c>
      <c r="D753" s="80" t="s">
        <v>3370</v>
      </c>
      <c r="E753" s="80" t="b">
        <v>0</v>
      </c>
      <c r="F753" s="80" t="b">
        <v>0</v>
      </c>
      <c r="G753" s="80" t="b">
        <v>0</v>
      </c>
    </row>
    <row r="754" spans="1:7" ht="15">
      <c r="A754" s="81" t="s">
        <v>2957</v>
      </c>
      <c r="B754" s="80">
        <v>2</v>
      </c>
      <c r="C754" s="104">
        <v>0.00040173028372176515</v>
      </c>
      <c r="D754" s="80" t="s">
        <v>3370</v>
      </c>
      <c r="E754" s="80" t="b">
        <v>0</v>
      </c>
      <c r="F754" s="80" t="b">
        <v>0</v>
      </c>
      <c r="G754" s="80" t="b">
        <v>0</v>
      </c>
    </row>
    <row r="755" spans="1:7" ht="15">
      <c r="A755" s="81" t="s">
        <v>2958</v>
      </c>
      <c r="B755" s="80">
        <v>2</v>
      </c>
      <c r="C755" s="104">
        <v>0.00047366098758412623</v>
      </c>
      <c r="D755" s="80" t="s">
        <v>3370</v>
      </c>
      <c r="E755" s="80" t="b">
        <v>0</v>
      </c>
      <c r="F755" s="80" t="b">
        <v>0</v>
      </c>
      <c r="G755" s="80" t="b">
        <v>0</v>
      </c>
    </row>
    <row r="756" spans="1:7" ht="15">
      <c r="A756" s="81" t="s">
        <v>2959</v>
      </c>
      <c r="B756" s="80">
        <v>2</v>
      </c>
      <c r="C756" s="104">
        <v>0.00040173028372176515</v>
      </c>
      <c r="D756" s="80" t="s">
        <v>3370</v>
      </c>
      <c r="E756" s="80" t="b">
        <v>0</v>
      </c>
      <c r="F756" s="80" t="b">
        <v>0</v>
      </c>
      <c r="G756" s="80" t="b">
        <v>0</v>
      </c>
    </row>
    <row r="757" spans="1:7" ht="15">
      <c r="A757" s="81" t="s">
        <v>2960</v>
      </c>
      <c r="B757" s="80">
        <v>2</v>
      </c>
      <c r="C757" s="104">
        <v>0.00040173028372176515</v>
      </c>
      <c r="D757" s="80" t="s">
        <v>3370</v>
      </c>
      <c r="E757" s="80" t="b">
        <v>0</v>
      </c>
      <c r="F757" s="80" t="b">
        <v>0</v>
      </c>
      <c r="G757" s="80" t="b">
        <v>0</v>
      </c>
    </row>
    <row r="758" spans="1:7" ht="15">
      <c r="A758" s="81" t="s">
        <v>2961</v>
      </c>
      <c r="B758" s="80">
        <v>2</v>
      </c>
      <c r="C758" s="104">
        <v>0.00040173028372176515</v>
      </c>
      <c r="D758" s="80" t="s">
        <v>3370</v>
      </c>
      <c r="E758" s="80" t="b">
        <v>0</v>
      </c>
      <c r="F758" s="80" t="b">
        <v>0</v>
      </c>
      <c r="G758" s="80" t="b">
        <v>0</v>
      </c>
    </row>
    <row r="759" spans="1:7" ht="15">
      <c r="A759" s="81" t="s">
        <v>2962</v>
      </c>
      <c r="B759" s="80">
        <v>2</v>
      </c>
      <c r="C759" s="104">
        <v>0.00040173028372176515</v>
      </c>
      <c r="D759" s="80" t="s">
        <v>3370</v>
      </c>
      <c r="E759" s="80" t="b">
        <v>0</v>
      </c>
      <c r="F759" s="80" t="b">
        <v>0</v>
      </c>
      <c r="G759" s="80" t="b">
        <v>0</v>
      </c>
    </row>
    <row r="760" spans="1:7" ht="15">
      <c r="A760" s="81" t="s">
        <v>2963</v>
      </c>
      <c r="B760" s="80">
        <v>2</v>
      </c>
      <c r="C760" s="104">
        <v>0.00047366098758412623</v>
      </c>
      <c r="D760" s="80" t="s">
        <v>3370</v>
      </c>
      <c r="E760" s="80" t="b">
        <v>0</v>
      </c>
      <c r="F760" s="80" t="b">
        <v>0</v>
      </c>
      <c r="G760" s="80" t="b">
        <v>0</v>
      </c>
    </row>
    <row r="761" spans="1:7" ht="15">
      <c r="A761" s="81" t="s">
        <v>2964</v>
      </c>
      <c r="B761" s="80">
        <v>2</v>
      </c>
      <c r="C761" s="104">
        <v>0.00047366098758412623</v>
      </c>
      <c r="D761" s="80" t="s">
        <v>3370</v>
      </c>
      <c r="E761" s="80" t="b">
        <v>0</v>
      </c>
      <c r="F761" s="80" t="b">
        <v>0</v>
      </c>
      <c r="G761" s="80" t="b">
        <v>0</v>
      </c>
    </row>
    <row r="762" spans="1:7" ht="15">
      <c r="A762" s="81" t="s">
        <v>2965</v>
      </c>
      <c r="B762" s="80">
        <v>2</v>
      </c>
      <c r="C762" s="104">
        <v>0.00047366098758412623</v>
      </c>
      <c r="D762" s="80" t="s">
        <v>3370</v>
      </c>
      <c r="E762" s="80" t="b">
        <v>0</v>
      </c>
      <c r="F762" s="80" t="b">
        <v>0</v>
      </c>
      <c r="G762" s="80" t="b">
        <v>0</v>
      </c>
    </row>
    <row r="763" spans="1:7" ht="15">
      <c r="A763" s="81" t="s">
        <v>2966</v>
      </c>
      <c r="B763" s="80">
        <v>2</v>
      </c>
      <c r="C763" s="104">
        <v>0.00040173028372176515</v>
      </c>
      <c r="D763" s="80" t="s">
        <v>3370</v>
      </c>
      <c r="E763" s="80" t="b">
        <v>0</v>
      </c>
      <c r="F763" s="80" t="b">
        <v>0</v>
      </c>
      <c r="G763" s="80" t="b">
        <v>0</v>
      </c>
    </row>
    <row r="764" spans="1:7" ht="15">
      <c r="A764" s="81" t="s">
        <v>2967</v>
      </c>
      <c r="B764" s="80">
        <v>2</v>
      </c>
      <c r="C764" s="104">
        <v>0.00040173028372176515</v>
      </c>
      <c r="D764" s="80" t="s">
        <v>3370</v>
      </c>
      <c r="E764" s="80" t="b">
        <v>0</v>
      </c>
      <c r="F764" s="80" t="b">
        <v>0</v>
      </c>
      <c r="G764" s="80" t="b">
        <v>0</v>
      </c>
    </row>
    <row r="765" spans="1:7" ht="15">
      <c r="A765" s="81" t="s">
        <v>2968</v>
      </c>
      <c r="B765" s="80">
        <v>2</v>
      </c>
      <c r="C765" s="104">
        <v>0.00040173028372176515</v>
      </c>
      <c r="D765" s="80" t="s">
        <v>3370</v>
      </c>
      <c r="E765" s="80" t="b">
        <v>0</v>
      </c>
      <c r="F765" s="80" t="b">
        <v>0</v>
      </c>
      <c r="G765" s="80" t="b">
        <v>0</v>
      </c>
    </row>
    <row r="766" spans="1:7" ht="15">
      <c r="A766" s="81" t="s">
        <v>2969</v>
      </c>
      <c r="B766" s="80">
        <v>2</v>
      </c>
      <c r="C766" s="104">
        <v>0.00047366098758412623</v>
      </c>
      <c r="D766" s="80" t="s">
        <v>3370</v>
      </c>
      <c r="E766" s="80" t="b">
        <v>0</v>
      </c>
      <c r="F766" s="80" t="b">
        <v>0</v>
      </c>
      <c r="G766" s="80" t="b">
        <v>0</v>
      </c>
    </row>
    <row r="767" spans="1:7" ht="15">
      <c r="A767" s="81" t="s">
        <v>2970</v>
      </c>
      <c r="B767" s="80">
        <v>2</v>
      </c>
      <c r="C767" s="104">
        <v>0.00040173028372176515</v>
      </c>
      <c r="D767" s="80" t="s">
        <v>3370</v>
      </c>
      <c r="E767" s="80" t="b">
        <v>0</v>
      </c>
      <c r="F767" s="80" t="b">
        <v>0</v>
      </c>
      <c r="G767" s="80" t="b">
        <v>0</v>
      </c>
    </row>
    <row r="768" spans="1:7" ht="15">
      <c r="A768" s="81" t="s">
        <v>2971</v>
      </c>
      <c r="B768" s="80">
        <v>2</v>
      </c>
      <c r="C768" s="104">
        <v>0.00040173028372176515</v>
      </c>
      <c r="D768" s="80" t="s">
        <v>3370</v>
      </c>
      <c r="E768" s="80" t="b">
        <v>0</v>
      </c>
      <c r="F768" s="80" t="b">
        <v>0</v>
      </c>
      <c r="G768" s="80" t="b">
        <v>0</v>
      </c>
    </row>
    <row r="769" spans="1:7" ht="15">
      <c r="A769" s="81" t="s">
        <v>2972</v>
      </c>
      <c r="B769" s="80">
        <v>2</v>
      </c>
      <c r="C769" s="104">
        <v>0.00040173028372176515</v>
      </c>
      <c r="D769" s="80" t="s">
        <v>3370</v>
      </c>
      <c r="E769" s="80" t="b">
        <v>0</v>
      </c>
      <c r="F769" s="80" t="b">
        <v>0</v>
      </c>
      <c r="G769" s="80" t="b">
        <v>0</v>
      </c>
    </row>
    <row r="770" spans="1:7" ht="15">
      <c r="A770" s="81" t="s">
        <v>2973</v>
      </c>
      <c r="B770" s="80">
        <v>2</v>
      </c>
      <c r="C770" s="104">
        <v>0.00040173028372176515</v>
      </c>
      <c r="D770" s="80" t="s">
        <v>3370</v>
      </c>
      <c r="E770" s="80" t="b">
        <v>0</v>
      </c>
      <c r="F770" s="80" t="b">
        <v>0</v>
      </c>
      <c r="G770" s="80" t="b">
        <v>0</v>
      </c>
    </row>
    <row r="771" spans="1:7" ht="15">
      <c r="A771" s="81" t="s">
        <v>2974</v>
      </c>
      <c r="B771" s="80">
        <v>2</v>
      </c>
      <c r="C771" s="104">
        <v>0.00047366098758412623</v>
      </c>
      <c r="D771" s="80" t="s">
        <v>3370</v>
      </c>
      <c r="E771" s="80" t="b">
        <v>0</v>
      </c>
      <c r="F771" s="80" t="b">
        <v>0</v>
      </c>
      <c r="G771" s="80" t="b">
        <v>0</v>
      </c>
    </row>
    <row r="772" spans="1:7" ht="15">
      <c r="A772" s="81" t="s">
        <v>2975</v>
      </c>
      <c r="B772" s="80">
        <v>2</v>
      </c>
      <c r="C772" s="104">
        <v>0.00040173028372176515</v>
      </c>
      <c r="D772" s="80" t="s">
        <v>3370</v>
      </c>
      <c r="E772" s="80" t="b">
        <v>0</v>
      </c>
      <c r="F772" s="80" t="b">
        <v>0</v>
      </c>
      <c r="G772" s="80" t="b">
        <v>0</v>
      </c>
    </row>
    <row r="773" spans="1:7" ht="15">
      <c r="A773" s="81" t="s">
        <v>2976</v>
      </c>
      <c r="B773" s="80">
        <v>2</v>
      </c>
      <c r="C773" s="104">
        <v>0.00040173028372176515</v>
      </c>
      <c r="D773" s="80" t="s">
        <v>3370</v>
      </c>
      <c r="E773" s="80" t="b">
        <v>0</v>
      </c>
      <c r="F773" s="80" t="b">
        <v>0</v>
      </c>
      <c r="G773" s="80" t="b">
        <v>0</v>
      </c>
    </row>
    <row r="774" spans="1:7" ht="15">
      <c r="A774" s="81" t="s">
        <v>2977</v>
      </c>
      <c r="B774" s="80">
        <v>2</v>
      </c>
      <c r="C774" s="104">
        <v>0.00047366098758412623</v>
      </c>
      <c r="D774" s="80" t="s">
        <v>3370</v>
      </c>
      <c r="E774" s="80" t="b">
        <v>0</v>
      </c>
      <c r="F774" s="80" t="b">
        <v>0</v>
      </c>
      <c r="G774" s="80" t="b">
        <v>0</v>
      </c>
    </row>
    <row r="775" spans="1:7" ht="15">
      <c r="A775" s="81" t="s">
        <v>2978</v>
      </c>
      <c r="B775" s="80">
        <v>2</v>
      </c>
      <c r="C775" s="104">
        <v>0.00040173028372176515</v>
      </c>
      <c r="D775" s="80" t="s">
        <v>3370</v>
      </c>
      <c r="E775" s="80" t="b">
        <v>0</v>
      </c>
      <c r="F775" s="80" t="b">
        <v>0</v>
      </c>
      <c r="G775" s="80" t="b">
        <v>0</v>
      </c>
    </row>
    <row r="776" spans="1:7" ht="15">
      <c r="A776" s="81" t="s">
        <v>2979</v>
      </c>
      <c r="B776" s="80">
        <v>2</v>
      </c>
      <c r="C776" s="104">
        <v>0.00040173028372176515</v>
      </c>
      <c r="D776" s="80" t="s">
        <v>3370</v>
      </c>
      <c r="E776" s="80" t="b">
        <v>0</v>
      </c>
      <c r="F776" s="80" t="b">
        <v>0</v>
      </c>
      <c r="G776" s="80" t="b">
        <v>0</v>
      </c>
    </row>
    <row r="777" spans="1:7" ht="15">
      <c r="A777" s="81" t="s">
        <v>2980</v>
      </c>
      <c r="B777" s="80">
        <v>2</v>
      </c>
      <c r="C777" s="104">
        <v>0.00040173028372176515</v>
      </c>
      <c r="D777" s="80" t="s">
        <v>3370</v>
      </c>
      <c r="E777" s="80" t="b">
        <v>0</v>
      </c>
      <c r="F777" s="80" t="b">
        <v>0</v>
      </c>
      <c r="G777" s="80" t="b">
        <v>0</v>
      </c>
    </row>
    <row r="778" spans="1:7" ht="15">
      <c r="A778" s="81" t="s">
        <v>2981</v>
      </c>
      <c r="B778" s="80">
        <v>2</v>
      </c>
      <c r="C778" s="104">
        <v>0.00040173028372176515</v>
      </c>
      <c r="D778" s="80" t="s">
        <v>3370</v>
      </c>
      <c r="E778" s="80" t="b">
        <v>0</v>
      </c>
      <c r="F778" s="80" t="b">
        <v>0</v>
      </c>
      <c r="G778" s="80" t="b">
        <v>0</v>
      </c>
    </row>
    <row r="779" spans="1:7" ht="15">
      <c r="A779" s="81" t="s">
        <v>2982</v>
      </c>
      <c r="B779" s="80">
        <v>2</v>
      </c>
      <c r="C779" s="104">
        <v>0.00040173028372176515</v>
      </c>
      <c r="D779" s="80" t="s">
        <v>3370</v>
      </c>
      <c r="E779" s="80" t="b">
        <v>0</v>
      </c>
      <c r="F779" s="80" t="b">
        <v>0</v>
      </c>
      <c r="G779" s="80" t="b">
        <v>0</v>
      </c>
    </row>
    <row r="780" spans="1:7" ht="15">
      <c r="A780" s="81" t="s">
        <v>2983</v>
      </c>
      <c r="B780" s="80">
        <v>2</v>
      </c>
      <c r="C780" s="104">
        <v>0.00040173028372176515</v>
      </c>
      <c r="D780" s="80" t="s">
        <v>3370</v>
      </c>
      <c r="E780" s="80" t="b">
        <v>1</v>
      </c>
      <c r="F780" s="80" t="b">
        <v>0</v>
      </c>
      <c r="G780" s="80" t="b">
        <v>0</v>
      </c>
    </row>
    <row r="781" spans="1:7" ht="15">
      <c r="A781" s="81" t="s">
        <v>2984</v>
      </c>
      <c r="B781" s="80">
        <v>2</v>
      </c>
      <c r="C781" s="104">
        <v>0.00040173028372176515</v>
      </c>
      <c r="D781" s="80" t="s">
        <v>3370</v>
      </c>
      <c r="E781" s="80" t="b">
        <v>0</v>
      </c>
      <c r="F781" s="80" t="b">
        <v>0</v>
      </c>
      <c r="G781" s="80" t="b">
        <v>0</v>
      </c>
    </row>
    <row r="782" spans="1:7" ht="15">
      <c r="A782" s="81" t="s">
        <v>2985</v>
      </c>
      <c r="B782" s="80">
        <v>2</v>
      </c>
      <c r="C782" s="104">
        <v>0.00040173028372176515</v>
      </c>
      <c r="D782" s="80" t="s">
        <v>3370</v>
      </c>
      <c r="E782" s="80" t="b">
        <v>0</v>
      </c>
      <c r="F782" s="80" t="b">
        <v>0</v>
      </c>
      <c r="G782" s="80" t="b">
        <v>0</v>
      </c>
    </row>
    <row r="783" spans="1:7" ht="15">
      <c r="A783" s="81" t="s">
        <v>2986</v>
      </c>
      <c r="B783" s="80">
        <v>2</v>
      </c>
      <c r="C783" s="104">
        <v>0.00047366098758412623</v>
      </c>
      <c r="D783" s="80" t="s">
        <v>3370</v>
      </c>
      <c r="E783" s="80" t="b">
        <v>0</v>
      </c>
      <c r="F783" s="80" t="b">
        <v>0</v>
      </c>
      <c r="G783" s="80" t="b">
        <v>0</v>
      </c>
    </row>
    <row r="784" spans="1:7" ht="15">
      <c r="A784" s="81" t="s">
        <v>2987</v>
      </c>
      <c r="B784" s="80">
        <v>2</v>
      </c>
      <c r="C784" s="104">
        <v>0.00040173028372176515</v>
      </c>
      <c r="D784" s="80" t="s">
        <v>3370</v>
      </c>
      <c r="E784" s="80" t="b">
        <v>0</v>
      </c>
      <c r="F784" s="80" t="b">
        <v>0</v>
      </c>
      <c r="G784" s="80" t="b">
        <v>0</v>
      </c>
    </row>
    <row r="785" spans="1:7" ht="15">
      <c r="A785" s="81" t="s">
        <v>2988</v>
      </c>
      <c r="B785" s="80">
        <v>2</v>
      </c>
      <c r="C785" s="104">
        <v>0.00040173028372176515</v>
      </c>
      <c r="D785" s="80" t="s">
        <v>3370</v>
      </c>
      <c r="E785" s="80" t="b">
        <v>0</v>
      </c>
      <c r="F785" s="80" t="b">
        <v>0</v>
      </c>
      <c r="G785" s="80" t="b">
        <v>0</v>
      </c>
    </row>
    <row r="786" spans="1:7" ht="15">
      <c r="A786" s="81" t="s">
        <v>2989</v>
      </c>
      <c r="B786" s="80">
        <v>2</v>
      </c>
      <c r="C786" s="104">
        <v>0.00040173028372176515</v>
      </c>
      <c r="D786" s="80" t="s">
        <v>3370</v>
      </c>
      <c r="E786" s="80" t="b">
        <v>1</v>
      </c>
      <c r="F786" s="80" t="b">
        <v>0</v>
      </c>
      <c r="G786" s="80" t="b">
        <v>0</v>
      </c>
    </row>
    <row r="787" spans="1:7" ht="15">
      <c r="A787" s="81" t="s">
        <v>2990</v>
      </c>
      <c r="B787" s="80">
        <v>2</v>
      </c>
      <c r="C787" s="104">
        <v>0.00040173028372176515</v>
      </c>
      <c r="D787" s="80" t="s">
        <v>3370</v>
      </c>
      <c r="E787" s="80" t="b">
        <v>0</v>
      </c>
      <c r="F787" s="80" t="b">
        <v>0</v>
      </c>
      <c r="G787" s="80" t="b">
        <v>0</v>
      </c>
    </row>
    <row r="788" spans="1:7" ht="15">
      <c r="A788" s="81" t="s">
        <v>2991</v>
      </c>
      <c r="B788" s="80">
        <v>2</v>
      </c>
      <c r="C788" s="104">
        <v>0.00040173028372176515</v>
      </c>
      <c r="D788" s="80" t="s">
        <v>3370</v>
      </c>
      <c r="E788" s="80" t="b">
        <v>0</v>
      </c>
      <c r="F788" s="80" t="b">
        <v>0</v>
      </c>
      <c r="G788" s="80" t="b">
        <v>0</v>
      </c>
    </row>
    <row r="789" spans="1:7" ht="15">
      <c r="A789" s="81" t="s">
        <v>2992</v>
      </c>
      <c r="B789" s="80">
        <v>2</v>
      </c>
      <c r="C789" s="104">
        <v>0.00047366098758412623</v>
      </c>
      <c r="D789" s="80" t="s">
        <v>3370</v>
      </c>
      <c r="E789" s="80" t="b">
        <v>0</v>
      </c>
      <c r="F789" s="80" t="b">
        <v>0</v>
      </c>
      <c r="G789" s="80" t="b">
        <v>0</v>
      </c>
    </row>
    <row r="790" spans="1:7" ht="15">
      <c r="A790" s="81" t="s">
        <v>2993</v>
      </c>
      <c r="B790" s="80">
        <v>2</v>
      </c>
      <c r="C790" s="104">
        <v>0.00040173028372176515</v>
      </c>
      <c r="D790" s="80" t="s">
        <v>3370</v>
      </c>
      <c r="E790" s="80" t="b">
        <v>0</v>
      </c>
      <c r="F790" s="80" t="b">
        <v>0</v>
      </c>
      <c r="G790" s="80" t="b">
        <v>0</v>
      </c>
    </row>
    <row r="791" spans="1:7" ht="15">
      <c r="A791" s="81" t="s">
        <v>2994</v>
      </c>
      <c r="B791" s="80">
        <v>2</v>
      </c>
      <c r="C791" s="104">
        <v>0.00040173028372176515</v>
      </c>
      <c r="D791" s="80" t="s">
        <v>3370</v>
      </c>
      <c r="E791" s="80" t="b">
        <v>0</v>
      </c>
      <c r="F791" s="80" t="b">
        <v>1</v>
      </c>
      <c r="G791" s="80" t="b">
        <v>0</v>
      </c>
    </row>
    <row r="792" spans="1:7" ht="15">
      <c r="A792" s="81" t="s">
        <v>2995</v>
      </c>
      <c r="B792" s="80">
        <v>2</v>
      </c>
      <c r="C792" s="104">
        <v>0.00047366098758412623</v>
      </c>
      <c r="D792" s="80" t="s">
        <v>3370</v>
      </c>
      <c r="E792" s="80" t="b">
        <v>0</v>
      </c>
      <c r="F792" s="80" t="b">
        <v>0</v>
      </c>
      <c r="G792" s="80" t="b">
        <v>0</v>
      </c>
    </row>
    <row r="793" spans="1:7" ht="15">
      <c r="A793" s="81" t="s">
        <v>2996</v>
      </c>
      <c r="B793" s="80">
        <v>2</v>
      </c>
      <c r="C793" s="104">
        <v>0.00040173028372176515</v>
      </c>
      <c r="D793" s="80" t="s">
        <v>3370</v>
      </c>
      <c r="E793" s="80" t="b">
        <v>0</v>
      </c>
      <c r="F793" s="80" t="b">
        <v>0</v>
      </c>
      <c r="G793" s="80" t="b">
        <v>0</v>
      </c>
    </row>
    <row r="794" spans="1:7" ht="15">
      <c r="A794" s="81" t="s">
        <v>2997</v>
      </c>
      <c r="B794" s="80">
        <v>2</v>
      </c>
      <c r="C794" s="104">
        <v>0.00040173028372176515</v>
      </c>
      <c r="D794" s="80" t="s">
        <v>3370</v>
      </c>
      <c r="E794" s="80" t="b">
        <v>0</v>
      </c>
      <c r="F794" s="80" t="b">
        <v>0</v>
      </c>
      <c r="G794" s="80" t="b">
        <v>0</v>
      </c>
    </row>
    <row r="795" spans="1:7" ht="15">
      <c r="A795" s="81" t="s">
        <v>2998</v>
      </c>
      <c r="B795" s="80">
        <v>2</v>
      </c>
      <c r="C795" s="104">
        <v>0.00040173028372176515</v>
      </c>
      <c r="D795" s="80" t="s">
        <v>3370</v>
      </c>
      <c r="E795" s="80" t="b">
        <v>0</v>
      </c>
      <c r="F795" s="80" t="b">
        <v>0</v>
      </c>
      <c r="G795" s="80" t="b">
        <v>0</v>
      </c>
    </row>
    <row r="796" spans="1:7" ht="15">
      <c r="A796" s="81" t="s">
        <v>2999</v>
      </c>
      <c r="B796" s="80">
        <v>2</v>
      </c>
      <c r="C796" s="104">
        <v>0.00040173028372176515</v>
      </c>
      <c r="D796" s="80" t="s">
        <v>3370</v>
      </c>
      <c r="E796" s="80" t="b">
        <v>0</v>
      </c>
      <c r="F796" s="80" t="b">
        <v>0</v>
      </c>
      <c r="G796" s="80" t="b">
        <v>0</v>
      </c>
    </row>
    <row r="797" spans="1:7" ht="15">
      <c r="A797" s="81" t="s">
        <v>3000</v>
      </c>
      <c r="B797" s="80">
        <v>2</v>
      </c>
      <c r="C797" s="104">
        <v>0.00040173028372176515</v>
      </c>
      <c r="D797" s="80" t="s">
        <v>3370</v>
      </c>
      <c r="E797" s="80" t="b">
        <v>0</v>
      </c>
      <c r="F797" s="80" t="b">
        <v>0</v>
      </c>
      <c r="G797" s="80" t="b">
        <v>0</v>
      </c>
    </row>
    <row r="798" spans="1:7" ht="15">
      <c r="A798" s="81" t="s">
        <v>3001</v>
      </c>
      <c r="B798" s="80">
        <v>2</v>
      </c>
      <c r="C798" s="104">
        <v>0.00047366098758412623</v>
      </c>
      <c r="D798" s="80" t="s">
        <v>3370</v>
      </c>
      <c r="E798" s="80" t="b">
        <v>0</v>
      </c>
      <c r="F798" s="80" t="b">
        <v>0</v>
      </c>
      <c r="G798" s="80" t="b">
        <v>0</v>
      </c>
    </row>
    <row r="799" spans="1:7" ht="15">
      <c r="A799" s="81" t="s">
        <v>3002</v>
      </c>
      <c r="B799" s="80">
        <v>2</v>
      </c>
      <c r="C799" s="104">
        <v>0.00047366098758412623</v>
      </c>
      <c r="D799" s="80" t="s">
        <v>3370</v>
      </c>
      <c r="E799" s="80" t="b">
        <v>0</v>
      </c>
      <c r="F799" s="80" t="b">
        <v>0</v>
      </c>
      <c r="G799" s="80" t="b">
        <v>0</v>
      </c>
    </row>
    <row r="800" spans="1:7" ht="15">
      <c r="A800" s="81" t="s">
        <v>3003</v>
      </c>
      <c r="B800" s="80">
        <v>2</v>
      </c>
      <c r="C800" s="104">
        <v>0.00047366098758412623</v>
      </c>
      <c r="D800" s="80" t="s">
        <v>3370</v>
      </c>
      <c r="E800" s="80" t="b">
        <v>0</v>
      </c>
      <c r="F800" s="80" t="b">
        <v>0</v>
      </c>
      <c r="G800" s="80" t="b">
        <v>0</v>
      </c>
    </row>
    <row r="801" spans="1:7" ht="15">
      <c r="A801" s="81" t="s">
        <v>3004</v>
      </c>
      <c r="B801" s="80">
        <v>2</v>
      </c>
      <c r="C801" s="104">
        <v>0.00047366098758412623</v>
      </c>
      <c r="D801" s="80" t="s">
        <v>3370</v>
      </c>
      <c r="E801" s="80" t="b">
        <v>0</v>
      </c>
      <c r="F801" s="80" t="b">
        <v>0</v>
      </c>
      <c r="G801" s="80" t="b">
        <v>0</v>
      </c>
    </row>
    <row r="802" spans="1:7" ht="15">
      <c r="A802" s="81" t="s">
        <v>3005</v>
      </c>
      <c r="B802" s="80">
        <v>2</v>
      </c>
      <c r="C802" s="104">
        <v>0.00047366098758412623</v>
      </c>
      <c r="D802" s="80" t="s">
        <v>3370</v>
      </c>
      <c r="E802" s="80" t="b">
        <v>0</v>
      </c>
      <c r="F802" s="80" t="b">
        <v>0</v>
      </c>
      <c r="G802" s="80" t="b">
        <v>0</v>
      </c>
    </row>
    <row r="803" spans="1:7" ht="15">
      <c r="A803" s="81" t="s">
        <v>3006</v>
      </c>
      <c r="B803" s="80">
        <v>2</v>
      </c>
      <c r="C803" s="104">
        <v>0.00040173028372176515</v>
      </c>
      <c r="D803" s="80" t="s">
        <v>3370</v>
      </c>
      <c r="E803" s="80" t="b">
        <v>0</v>
      </c>
      <c r="F803" s="80" t="b">
        <v>0</v>
      </c>
      <c r="G803" s="80" t="b">
        <v>0</v>
      </c>
    </row>
    <row r="804" spans="1:7" ht="15">
      <c r="A804" s="81" t="s">
        <v>3007</v>
      </c>
      <c r="B804" s="80">
        <v>2</v>
      </c>
      <c r="C804" s="104">
        <v>0.00047366098758412623</v>
      </c>
      <c r="D804" s="80" t="s">
        <v>3370</v>
      </c>
      <c r="E804" s="80" t="b">
        <v>0</v>
      </c>
      <c r="F804" s="80" t="b">
        <v>0</v>
      </c>
      <c r="G804" s="80" t="b">
        <v>0</v>
      </c>
    </row>
    <row r="805" spans="1:7" ht="15">
      <c r="A805" s="81" t="s">
        <v>3008</v>
      </c>
      <c r="B805" s="80">
        <v>2</v>
      </c>
      <c r="C805" s="104">
        <v>0.00040173028372176515</v>
      </c>
      <c r="D805" s="80" t="s">
        <v>3370</v>
      </c>
      <c r="E805" s="80" t="b">
        <v>0</v>
      </c>
      <c r="F805" s="80" t="b">
        <v>0</v>
      </c>
      <c r="G805" s="80" t="b">
        <v>0</v>
      </c>
    </row>
    <row r="806" spans="1:7" ht="15">
      <c r="A806" s="81" t="s">
        <v>3009</v>
      </c>
      <c r="B806" s="80">
        <v>2</v>
      </c>
      <c r="C806" s="104">
        <v>0.00040173028372176515</v>
      </c>
      <c r="D806" s="80" t="s">
        <v>3370</v>
      </c>
      <c r="E806" s="80" t="b">
        <v>0</v>
      </c>
      <c r="F806" s="80" t="b">
        <v>0</v>
      </c>
      <c r="G806" s="80" t="b">
        <v>0</v>
      </c>
    </row>
    <row r="807" spans="1:7" ht="15">
      <c r="A807" s="81" t="s">
        <v>3010</v>
      </c>
      <c r="B807" s="80">
        <v>2</v>
      </c>
      <c r="C807" s="104">
        <v>0.00047366098758412623</v>
      </c>
      <c r="D807" s="80" t="s">
        <v>3370</v>
      </c>
      <c r="E807" s="80" t="b">
        <v>0</v>
      </c>
      <c r="F807" s="80" t="b">
        <v>0</v>
      </c>
      <c r="G807" s="80" t="b">
        <v>0</v>
      </c>
    </row>
    <row r="808" spans="1:7" ht="15">
      <c r="A808" s="81" t="s">
        <v>3011</v>
      </c>
      <c r="B808" s="80">
        <v>2</v>
      </c>
      <c r="C808" s="104">
        <v>0.00040173028372176515</v>
      </c>
      <c r="D808" s="80" t="s">
        <v>3370</v>
      </c>
      <c r="E808" s="80" t="b">
        <v>0</v>
      </c>
      <c r="F808" s="80" t="b">
        <v>0</v>
      </c>
      <c r="G808" s="80" t="b">
        <v>0</v>
      </c>
    </row>
    <row r="809" spans="1:7" ht="15">
      <c r="A809" s="81" t="s">
        <v>3012</v>
      </c>
      <c r="B809" s="80">
        <v>2</v>
      </c>
      <c r="C809" s="104">
        <v>0.00040173028372176515</v>
      </c>
      <c r="D809" s="80" t="s">
        <v>3370</v>
      </c>
      <c r="E809" s="80" t="b">
        <v>0</v>
      </c>
      <c r="F809" s="80" t="b">
        <v>0</v>
      </c>
      <c r="G809" s="80" t="b">
        <v>0</v>
      </c>
    </row>
    <row r="810" spans="1:7" ht="15">
      <c r="A810" s="81" t="s">
        <v>3013</v>
      </c>
      <c r="B810" s="80">
        <v>2</v>
      </c>
      <c r="C810" s="104">
        <v>0.00040173028372176515</v>
      </c>
      <c r="D810" s="80" t="s">
        <v>3370</v>
      </c>
      <c r="E810" s="80" t="b">
        <v>0</v>
      </c>
      <c r="F810" s="80" t="b">
        <v>0</v>
      </c>
      <c r="G810" s="80" t="b">
        <v>0</v>
      </c>
    </row>
    <row r="811" spans="1:7" ht="15">
      <c r="A811" s="81" t="s">
        <v>3014</v>
      </c>
      <c r="B811" s="80">
        <v>2</v>
      </c>
      <c r="C811" s="104">
        <v>0.00047366098758412623</v>
      </c>
      <c r="D811" s="80" t="s">
        <v>3370</v>
      </c>
      <c r="E811" s="80" t="b">
        <v>0</v>
      </c>
      <c r="F811" s="80" t="b">
        <v>0</v>
      </c>
      <c r="G811" s="80" t="b">
        <v>0</v>
      </c>
    </row>
    <row r="812" spans="1:7" ht="15">
      <c r="A812" s="81" t="s">
        <v>3015</v>
      </c>
      <c r="B812" s="80">
        <v>2</v>
      </c>
      <c r="C812" s="104">
        <v>0.00040173028372176515</v>
      </c>
      <c r="D812" s="80" t="s">
        <v>3370</v>
      </c>
      <c r="E812" s="80" t="b">
        <v>0</v>
      </c>
      <c r="F812" s="80" t="b">
        <v>0</v>
      </c>
      <c r="G812" s="80" t="b">
        <v>0</v>
      </c>
    </row>
    <row r="813" spans="1:7" ht="15">
      <c r="A813" s="81" t="s">
        <v>3016</v>
      </c>
      <c r="B813" s="80">
        <v>2</v>
      </c>
      <c r="C813" s="104">
        <v>0.00040173028372176515</v>
      </c>
      <c r="D813" s="80" t="s">
        <v>3370</v>
      </c>
      <c r="E813" s="80" t="b">
        <v>0</v>
      </c>
      <c r="F813" s="80" t="b">
        <v>0</v>
      </c>
      <c r="G813" s="80" t="b">
        <v>0</v>
      </c>
    </row>
    <row r="814" spans="1:7" ht="15">
      <c r="A814" s="81" t="s">
        <v>3017</v>
      </c>
      <c r="B814" s="80">
        <v>2</v>
      </c>
      <c r="C814" s="104">
        <v>0.00040173028372176515</v>
      </c>
      <c r="D814" s="80" t="s">
        <v>3370</v>
      </c>
      <c r="E814" s="80" t="b">
        <v>0</v>
      </c>
      <c r="F814" s="80" t="b">
        <v>0</v>
      </c>
      <c r="G814" s="80" t="b">
        <v>0</v>
      </c>
    </row>
    <row r="815" spans="1:7" ht="15">
      <c r="A815" s="81" t="s">
        <v>3018</v>
      </c>
      <c r="B815" s="80">
        <v>2</v>
      </c>
      <c r="C815" s="104">
        <v>0.00047366098758412623</v>
      </c>
      <c r="D815" s="80" t="s">
        <v>3370</v>
      </c>
      <c r="E815" s="80" t="b">
        <v>0</v>
      </c>
      <c r="F815" s="80" t="b">
        <v>0</v>
      </c>
      <c r="G815" s="80" t="b">
        <v>0</v>
      </c>
    </row>
    <row r="816" spans="1:7" ht="15">
      <c r="A816" s="81" t="s">
        <v>3019</v>
      </c>
      <c r="B816" s="80">
        <v>2</v>
      </c>
      <c r="C816" s="104">
        <v>0.00040173028372176515</v>
      </c>
      <c r="D816" s="80" t="s">
        <v>3370</v>
      </c>
      <c r="E816" s="80" t="b">
        <v>0</v>
      </c>
      <c r="F816" s="80" t="b">
        <v>0</v>
      </c>
      <c r="G816" s="80" t="b">
        <v>0</v>
      </c>
    </row>
    <row r="817" spans="1:7" ht="15">
      <c r="A817" s="81" t="s">
        <v>3020</v>
      </c>
      <c r="B817" s="80">
        <v>2</v>
      </c>
      <c r="C817" s="104">
        <v>0.00047366098758412623</v>
      </c>
      <c r="D817" s="80" t="s">
        <v>3370</v>
      </c>
      <c r="E817" s="80" t="b">
        <v>0</v>
      </c>
      <c r="F817" s="80" t="b">
        <v>0</v>
      </c>
      <c r="G817" s="80" t="b">
        <v>0</v>
      </c>
    </row>
    <row r="818" spans="1:7" ht="15">
      <c r="A818" s="81" t="s">
        <v>3021</v>
      </c>
      <c r="B818" s="80">
        <v>2</v>
      </c>
      <c r="C818" s="104">
        <v>0.00040173028372176515</v>
      </c>
      <c r="D818" s="80" t="s">
        <v>3370</v>
      </c>
      <c r="E818" s="80" t="b">
        <v>0</v>
      </c>
      <c r="F818" s="80" t="b">
        <v>0</v>
      </c>
      <c r="G818" s="80" t="b">
        <v>0</v>
      </c>
    </row>
    <row r="819" spans="1:7" ht="15">
      <c r="A819" s="81" t="s">
        <v>3022</v>
      </c>
      <c r="B819" s="80">
        <v>2</v>
      </c>
      <c r="C819" s="104">
        <v>0.00047366098758412623</v>
      </c>
      <c r="D819" s="80" t="s">
        <v>3370</v>
      </c>
      <c r="E819" s="80" t="b">
        <v>0</v>
      </c>
      <c r="F819" s="80" t="b">
        <v>0</v>
      </c>
      <c r="G819" s="80" t="b">
        <v>0</v>
      </c>
    </row>
    <row r="820" spans="1:7" ht="15">
      <c r="A820" s="81" t="s">
        <v>3023</v>
      </c>
      <c r="B820" s="80">
        <v>2</v>
      </c>
      <c r="C820" s="104">
        <v>0.00047366098758412623</v>
      </c>
      <c r="D820" s="80" t="s">
        <v>3370</v>
      </c>
      <c r="E820" s="80" t="b">
        <v>0</v>
      </c>
      <c r="F820" s="80" t="b">
        <v>0</v>
      </c>
      <c r="G820" s="80" t="b">
        <v>0</v>
      </c>
    </row>
    <row r="821" spans="1:7" ht="15">
      <c r="A821" s="81" t="s">
        <v>3024</v>
      </c>
      <c r="B821" s="80">
        <v>2</v>
      </c>
      <c r="C821" s="104">
        <v>0.00047366098758412623</v>
      </c>
      <c r="D821" s="80" t="s">
        <v>3370</v>
      </c>
      <c r="E821" s="80" t="b">
        <v>0</v>
      </c>
      <c r="F821" s="80" t="b">
        <v>0</v>
      </c>
      <c r="G821" s="80" t="b">
        <v>0</v>
      </c>
    </row>
    <row r="822" spans="1:7" ht="15">
      <c r="A822" s="81" t="s">
        <v>3025</v>
      </c>
      <c r="B822" s="80">
        <v>2</v>
      </c>
      <c r="C822" s="104">
        <v>0.00047366098758412623</v>
      </c>
      <c r="D822" s="80" t="s">
        <v>3370</v>
      </c>
      <c r="E822" s="80" t="b">
        <v>0</v>
      </c>
      <c r="F822" s="80" t="b">
        <v>0</v>
      </c>
      <c r="G822" s="80" t="b">
        <v>0</v>
      </c>
    </row>
    <row r="823" spans="1:7" ht="15">
      <c r="A823" s="81" t="s">
        <v>3026</v>
      </c>
      <c r="B823" s="80">
        <v>2</v>
      </c>
      <c r="C823" s="104">
        <v>0.00047366098758412623</v>
      </c>
      <c r="D823" s="80" t="s">
        <v>3370</v>
      </c>
      <c r="E823" s="80" t="b">
        <v>0</v>
      </c>
      <c r="F823" s="80" t="b">
        <v>0</v>
      </c>
      <c r="G823" s="80" t="b">
        <v>0</v>
      </c>
    </row>
    <row r="824" spans="1:7" ht="15">
      <c r="A824" s="81" t="s">
        <v>3027</v>
      </c>
      <c r="B824" s="80">
        <v>2</v>
      </c>
      <c r="C824" s="104">
        <v>0.00040173028372176515</v>
      </c>
      <c r="D824" s="80" t="s">
        <v>3370</v>
      </c>
      <c r="E824" s="80" t="b">
        <v>0</v>
      </c>
      <c r="F824" s="80" t="b">
        <v>0</v>
      </c>
      <c r="G824" s="80" t="b">
        <v>0</v>
      </c>
    </row>
    <row r="825" spans="1:7" ht="15">
      <c r="A825" s="81" t="s">
        <v>3028</v>
      </c>
      <c r="B825" s="80">
        <v>2</v>
      </c>
      <c r="C825" s="104">
        <v>0.00047366098758412623</v>
      </c>
      <c r="D825" s="80" t="s">
        <v>3370</v>
      </c>
      <c r="E825" s="80" t="b">
        <v>0</v>
      </c>
      <c r="F825" s="80" t="b">
        <v>0</v>
      </c>
      <c r="G825" s="80" t="b">
        <v>0</v>
      </c>
    </row>
    <row r="826" spans="1:7" ht="15">
      <c r="A826" s="81" t="s">
        <v>3029</v>
      </c>
      <c r="B826" s="80">
        <v>2</v>
      </c>
      <c r="C826" s="104">
        <v>0.00040173028372176515</v>
      </c>
      <c r="D826" s="80" t="s">
        <v>3370</v>
      </c>
      <c r="E826" s="80" t="b">
        <v>0</v>
      </c>
      <c r="F826" s="80" t="b">
        <v>0</v>
      </c>
      <c r="G826" s="80" t="b">
        <v>0</v>
      </c>
    </row>
    <row r="827" spans="1:7" ht="15">
      <c r="A827" s="81" t="s">
        <v>3030</v>
      </c>
      <c r="B827" s="80">
        <v>2</v>
      </c>
      <c r="C827" s="104">
        <v>0.00047366098758412623</v>
      </c>
      <c r="D827" s="80" t="s">
        <v>3370</v>
      </c>
      <c r="E827" s="80" t="b">
        <v>0</v>
      </c>
      <c r="F827" s="80" t="b">
        <v>0</v>
      </c>
      <c r="G827" s="80" t="b">
        <v>0</v>
      </c>
    </row>
    <row r="828" spans="1:7" ht="15">
      <c r="A828" s="81" t="s">
        <v>3031</v>
      </c>
      <c r="B828" s="80">
        <v>2</v>
      </c>
      <c r="C828" s="104">
        <v>0.00040173028372176515</v>
      </c>
      <c r="D828" s="80" t="s">
        <v>3370</v>
      </c>
      <c r="E828" s="80" t="b">
        <v>0</v>
      </c>
      <c r="F828" s="80" t="b">
        <v>0</v>
      </c>
      <c r="G828" s="80" t="b">
        <v>0</v>
      </c>
    </row>
    <row r="829" spans="1:7" ht="15">
      <c r="A829" s="81" t="s">
        <v>3032</v>
      </c>
      <c r="B829" s="80">
        <v>2</v>
      </c>
      <c r="C829" s="104">
        <v>0.00040173028372176515</v>
      </c>
      <c r="D829" s="80" t="s">
        <v>3370</v>
      </c>
      <c r="E829" s="80" t="b">
        <v>0</v>
      </c>
      <c r="F829" s="80" t="b">
        <v>0</v>
      </c>
      <c r="G829" s="80" t="b">
        <v>0</v>
      </c>
    </row>
    <row r="830" spans="1:7" ht="15">
      <c r="A830" s="81" t="s">
        <v>3033</v>
      </c>
      <c r="B830" s="80">
        <v>2</v>
      </c>
      <c r="C830" s="104">
        <v>0.00047366098758412623</v>
      </c>
      <c r="D830" s="80" t="s">
        <v>3370</v>
      </c>
      <c r="E830" s="80" t="b">
        <v>0</v>
      </c>
      <c r="F830" s="80" t="b">
        <v>0</v>
      </c>
      <c r="G830" s="80" t="b">
        <v>0</v>
      </c>
    </row>
    <row r="831" spans="1:7" ht="15">
      <c r="A831" s="81" t="s">
        <v>3034</v>
      </c>
      <c r="B831" s="80">
        <v>2</v>
      </c>
      <c r="C831" s="104">
        <v>0.00040173028372176515</v>
      </c>
      <c r="D831" s="80" t="s">
        <v>3370</v>
      </c>
      <c r="E831" s="80" t="b">
        <v>0</v>
      </c>
      <c r="F831" s="80" t="b">
        <v>0</v>
      </c>
      <c r="G831" s="80" t="b">
        <v>0</v>
      </c>
    </row>
    <row r="832" spans="1:7" ht="15">
      <c r="A832" s="81" t="s">
        <v>3035</v>
      </c>
      <c r="B832" s="80">
        <v>2</v>
      </c>
      <c r="C832" s="104">
        <v>0.00040173028372176515</v>
      </c>
      <c r="D832" s="80" t="s">
        <v>3370</v>
      </c>
      <c r="E832" s="80" t="b">
        <v>0</v>
      </c>
      <c r="F832" s="80" t="b">
        <v>0</v>
      </c>
      <c r="G832" s="80" t="b">
        <v>0</v>
      </c>
    </row>
    <row r="833" spans="1:7" ht="15">
      <c r="A833" s="81" t="s">
        <v>3036</v>
      </c>
      <c r="B833" s="80">
        <v>2</v>
      </c>
      <c r="C833" s="104">
        <v>0.00040173028372176515</v>
      </c>
      <c r="D833" s="80" t="s">
        <v>3370</v>
      </c>
      <c r="E833" s="80" t="b">
        <v>0</v>
      </c>
      <c r="F833" s="80" t="b">
        <v>0</v>
      </c>
      <c r="G833" s="80" t="b">
        <v>0</v>
      </c>
    </row>
    <row r="834" spans="1:7" ht="15">
      <c r="A834" s="81" t="s">
        <v>3037</v>
      </c>
      <c r="B834" s="80">
        <v>2</v>
      </c>
      <c r="C834" s="104">
        <v>0.00040173028372176515</v>
      </c>
      <c r="D834" s="80" t="s">
        <v>3370</v>
      </c>
      <c r="E834" s="80" t="b">
        <v>0</v>
      </c>
      <c r="F834" s="80" t="b">
        <v>0</v>
      </c>
      <c r="G834" s="80" t="b">
        <v>0</v>
      </c>
    </row>
    <row r="835" spans="1:7" ht="15">
      <c r="A835" s="81" t="s">
        <v>3038</v>
      </c>
      <c r="B835" s="80">
        <v>2</v>
      </c>
      <c r="C835" s="104">
        <v>0.00040173028372176515</v>
      </c>
      <c r="D835" s="80" t="s">
        <v>3370</v>
      </c>
      <c r="E835" s="80" t="b">
        <v>0</v>
      </c>
      <c r="F835" s="80" t="b">
        <v>0</v>
      </c>
      <c r="G835" s="80" t="b">
        <v>0</v>
      </c>
    </row>
    <row r="836" spans="1:7" ht="15">
      <c r="A836" s="81" t="s">
        <v>3039</v>
      </c>
      <c r="B836" s="80">
        <v>2</v>
      </c>
      <c r="C836" s="104">
        <v>0.00047366098758412623</v>
      </c>
      <c r="D836" s="80" t="s">
        <v>3370</v>
      </c>
      <c r="E836" s="80" t="b">
        <v>0</v>
      </c>
      <c r="F836" s="80" t="b">
        <v>0</v>
      </c>
      <c r="G836" s="80" t="b">
        <v>0</v>
      </c>
    </row>
    <row r="837" spans="1:7" ht="15">
      <c r="A837" s="81" t="s">
        <v>3040</v>
      </c>
      <c r="B837" s="80">
        <v>2</v>
      </c>
      <c r="C837" s="104">
        <v>0.00040173028372176515</v>
      </c>
      <c r="D837" s="80" t="s">
        <v>3370</v>
      </c>
      <c r="E837" s="80" t="b">
        <v>0</v>
      </c>
      <c r="F837" s="80" t="b">
        <v>0</v>
      </c>
      <c r="G837" s="80" t="b">
        <v>0</v>
      </c>
    </row>
    <row r="838" spans="1:7" ht="15">
      <c r="A838" s="81" t="s">
        <v>3041</v>
      </c>
      <c r="B838" s="80">
        <v>2</v>
      </c>
      <c r="C838" s="104">
        <v>0.00047366098758412623</v>
      </c>
      <c r="D838" s="80" t="s">
        <v>3370</v>
      </c>
      <c r="E838" s="80" t="b">
        <v>0</v>
      </c>
      <c r="F838" s="80" t="b">
        <v>0</v>
      </c>
      <c r="G838" s="80" t="b">
        <v>0</v>
      </c>
    </row>
    <row r="839" spans="1:7" ht="15">
      <c r="A839" s="81" t="s">
        <v>3042</v>
      </c>
      <c r="B839" s="80">
        <v>2</v>
      </c>
      <c r="C839" s="104">
        <v>0.00047366098758412623</v>
      </c>
      <c r="D839" s="80" t="s">
        <v>3370</v>
      </c>
      <c r="E839" s="80" t="b">
        <v>0</v>
      </c>
      <c r="F839" s="80" t="b">
        <v>0</v>
      </c>
      <c r="G839" s="80" t="b">
        <v>0</v>
      </c>
    </row>
    <row r="840" spans="1:7" ht="15">
      <c r="A840" s="81" t="s">
        <v>3043</v>
      </c>
      <c r="B840" s="80">
        <v>2</v>
      </c>
      <c r="C840" s="104">
        <v>0.00047366098758412623</v>
      </c>
      <c r="D840" s="80" t="s">
        <v>3370</v>
      </c>
      <c r="E840" s="80" t="b">
        <v>0</v>
      </c>
      <c r="F840" s="80" t="b">
        <v>0</v>
      </c>
      <c r="G840" s="80" t="b">
        <v>0</v>
      </c>
    </row>
    <row r="841" spans="1:7" ht="15">
      <c r="A841" s="81" t="s">
        <v>3044</v>
      </c>
      <c r="B841" s="80">
        <v>2</v>
      </c>
      <c r="C841" s="104">
        <v>0.00047366098758412623</v>
      </c>
      <c r="D841" s="80" t="s">
        <v>3370</v>
      </c>
      <c r="E841" s="80" t="b">
        <v>0</v>
      </c>
      <c r="F841" s="80" t="b">
        <v>0</v>
      </c>
      <c r="G841" s="80" t="b">
        <v>0</v>
      </c>
    </row>
    <row r="842" spans="1:7" ht="15">
      <c r="A842" s="81" t="s">
        <v>3045</v>
      </c>
      <c r="B842" s="80">
        <v>2</v>
      </c>
      <c r="C842" s="104">
        <v>0.00040173028372176515</v>
      </c>
      <c r="D842" s="80" t="s">
        <v>3370</v>
      </c>
      <c r="E842" s="80" t="b">
        <v>0</v>
      </c>
      <c r="F842" s="80" t="b">
        <v>0</v>
      </c>
      <c r="G842" s="80" t="b">
        <v>0</v>
      </c>
    </row>
    <row r="843" spans="1:7" ht="15">
      <c r="A843" s="81" t="s">
        <v>3046</v>
      </c>
      <c r="B843" s="80">
        <v>2</v>
      </c>
      <c r="C843" s="104">
        <v>0.00040173028372176515</v>
      </c>
      <c r="D843" s="80" t="s">
        <v>3370</v>
      </c>
      <c r="E843" s="80" t="b">
        <v>0</v>
      </c>
      <c r="F843" s="80" t="b">
        <v>0</v>
      </c>
      <c r="G843" s="80" t="b">
        <v>0</v>
      </c>
    </row>
    <row r="844" spans="1:7" ht="15">
      <c r="A844" s="81" t="s">
        <v>3047</v>
      </c>
      <c r="B844" s="80">
        <v>2</v>
      </c>
      <c r="C844" s="104">
        <v>0.00040173028372176515</v>
      </c>
      <c r="D844" s="80" t="s">
        <v>3370</v>
      </c>
      <c r="E844" s="80" t="b">
        <v>0</v>
      </c>
      <c r="F844" s="80" t="b">
        <v>0</v>
      </c>
      <c r="G844" s="80" t="b">
        <v>0</v>
      </c>
    </row>
    <row r="845" spans="1:7" ht="15">
      <c r="A845" s="81" t="s">
        <v>3048</v>
      </c>
      <c r="B845" s="80">
        <v>2</v>
      </c>
      <c r="C845" s="104">
        <v>0.00047366098758412623</v>
      </c>
      <c r="D845" s="80" t="s">
        <v>3370</v>
      </c>
      <c r="E845" s="80" t="b">
        <v>0</v>
      </c>
      <c r="F845" s="80" t="b">
        <v>0</v>
      </c>
      <c r="G845" s="80" t="b">
        <v>0</v>
      </c>
    </row>
    <row r="846" spans="1:7" ht="15">
      <c r="A846" s="81" t="s">
        <v>3049</v>
      </c>
      <c r="B846" s="80">
        <v>2</v>
      </c>
      <c r="C846" s="104">
        <v>0.00047366098758412623</v>
      </c>
      <c r="D846" s="80" t="s">
        <v>3370</v>
      </c>
      <c r="E846" s="80" t="b">
        <v>0</v>
      </c>
      <c r="F846" s="80" t="b">
        <v>0</v>
      </c>
      <c r="G846" s="80" t="b">
        <v>0</v>
      </c>
    </row>
    <row r="847" spans="1:7" ht="15">
      <c r="A847" s="81" t="s">
        <v>3050</v>
      </c>
      <c r="B847" s="80">
        <v>2</v>
      </c>
      <c r="C847" s="104">
        <v>0.00040173028372176515</v>
      </c>
      <c r="D847" s="80" t="s">
        <v>3370</v>
      </c>
      <c r="E847" s="80" t="b">
        <v>0</v>
      </c>
      <c r="F847" s="80" t="b">
        <v>0</v>
      </c>
      <c r="G847" s="80" t="b">
        <v>0</v>
      </c>
    </row>
    <row r="848" spans="1:7" ht="15">
      <c r="A848" s="81" t="s">
        <v>3051</v>
      </c>
      <c r="B848" s="80">
        <v>2</v>
      </c>
      <c r="C848" s="104">
        <v>0.00040173028372176515</v>
      </c>
      <c r="D848" s="80" t="s">
        <v>3370</v>
      </c>
      <c r="E848" s="80" t="b">
        <v>0</v>
      </c>
      <c r="F848" s="80" t="b">
        <v>0</v>
      </c>
      <c r="G848" s="80" t="b">
        <v>0</v>
      </c>
    </row>
    <row r="849" spans="1:7" ht="15">
      <c r="A849" s="81" t="s">
        <v>3052</v>
      </c>
      <c r="B849" s="80">
        <v>2</v>
      </c>
      <c r="C849" s="104">
        <v>0.00040173028372176515</v>
      </c>
      <c r="D849" s="80" t="s">
        <v>3370</v>
      </c>
      <c r="E849" s="80" t="b">
        <v>0</v>
      </c>
      <c r="F849" s="80" t="b">
        <v>0</v>
      </c>
      <c r="G849" s="80" t="b">
        <v>0</v>
      </c>
    </row>
    <row r="850" spans="1:7" ht="15">
      <c r="A850" s="81" t="s">
        <v>3053</v>
      </c>
      <c r="B850" s="80">
        <v>2</v>
      </c>
      <c r="C850" s="104">
        <v>0.00047366098758412623</v>
      </c>
      <c r="D850" s="80" t="s">
        <v>3370</v>
      </c>
      <c r="E850" s="80" t="b">
        <v>0</v>
      </c>
      <c r="F850" s="80" t="b">
        <v>0</v>
      </c>
      <c r="G850" s="80" t="b">
        <v>0</v>
      </c>
    </row>
    <row r="851" spans="1:7" ht="15">
      <c r="A851" s="81" t="s">
        <v>3054</v>
      </c>
      <c r="B851" s="80">
        <v>2</v>
      </c>
      <c r="C851" s="104">
        <v>0.00040173028372176515</v>
      </c>
      <c r="D851" s="80" t="s">
        <v>3370</v>
      </c>
      <c r="E851" s="80" t="b">
        <v>0</v>
      </c>
      <c r="F851" s="80" t="b">
        <v>0</v>
      </c>
      <c r="G851" s="80" t="b">
        <v>0</v>
      </c>
    </row>
    <row r="852" spans="1:7" ht="15">
      <c r="A852" s="81" t="s">
        <v>3055</v>
      </c>
      <c r="B852" s="80">
        <v>2</v>
      </c>
      <c r="C852" s="104">
        <v>0.00047366098758412623</v>
      </c>
      <c r="D852" s="80" t="s">
        <v>3370</v>
      </c>
      <c r="E852" s="80" t="b">
        <v>0</v>
      </c>
      <c r="F852" s="80" t="b">
        <v>0</v>
      </c>
      <c r="G852" s="80" t="b">
        <v>0</v>
      </c>
    </row>
    <row r="853" spans="1:7" ht="15">
      <c r="A853" s="81" t="s">
        <v>3056</v>
      </c>
      <c r="B853" s="80">
        <v>2</v>
      </c>
      <c r="C853" s="104">
        <v>0.00047366098758412623</v>
      </c>
      <c r="D853" s="80" t="s">
        <v>3370</v>
      </c>
      <c r="E853" s="80" t="b">
        <v>0</v>
      </c>
      <c r="F853" s="80" t="b">
        <v>0</v>
      </c>
      <c r="G853" s="80" t="b">
        <v>0</v>
      </c>
    </row>
    <row r="854" spans="1:7" ht="15">
      <c r="A854" s="81" t="s">
        <v>3057</v>
      </c>
      <c r="B854" s="80">
        <v>2</v>
      </c>
      <c r="C854" s="104">
        <v>0.00040173028372176515</v>
      </c>
      <c r="D854" s="80" t="s">
        <v>3370</v>
      </c>
      <c r="E854" s="80" t="b">
        <v>0</v>
      </c>
      <c r="F854" s="80" t="b">
        <v>0</v>
      </c>
      <c r="G854" s="80" t="b">
        <v>0</v>
      </c>
    </row>
    <row r="855" spans="1:7" ht="15">
      <c r="A855" s="81" t="s">
        <v>3058</v>
      </c>
      <c r="B855" s="80">
        <v>2</v>
      </c>
      <c r="C855" s="104">
        <v>0.00040173028372176515</v>
      </c>
      <c r="D855" s="80" t="s">
        <v>3370</v>
      </c>
      <c r="E855" s="80" t="b">
        <v>0</v>
      </c>
      <c r="F855" s="80" t="b">
        <v>0</v>
      </c>
      <c r="G855" s="80" t="b">
        <v>0</v>
      </c>
    </row>
    <row r="856" spans="1:7" ht="15">
      <c r="A856" s="81" t="s">
        <v>3059</v>
      </c>
      <c r="B856" s="80">
        <v>2</v>
      </c>
      <c r="C856" s="104">
        <v>0.00047366098758412623</v>
      </c>
      <c r="D856" s="80" t="s">
        <v>3370</v>
      </c>
      <c r="E856" s="80" t="b">
        <v>0</v>
      </c>
      <c r="F856" s="80" t="b">
        <v>0</v>
      </c>
      <c r="G856" s="80" t="b">
        <v>0</v>
      </c>
    </row>
    <row r="857" spans="1:7" ht="15">
      <c r="A857" s="81" t="s">
        <v>3060</v>
      </c>
      <c r="B857" s="80">
        <v>2</v>
      </c>
      <c r="C857" s="104">
        <v>0.00040173028372176515</v>
      </c>
      <c r="D857" s="80" t="s">
        <v>3370</v>
      </c>
      <c r="E857" s="80" t="b">
        <v>0</v>
      </c>
      <c r="F857" s="80" t="b">
        <v>0</v>
      </c>
      <c r="G857" s="80" t="b">
        <v>0</v>
      </c>
    </row>
    <row r="858" spans="1:7" ht="15">
      <c r="A858" s="81" t="s">
        <v>3061</v>
      </c>
      <c r="B858" s="80">
        <v>2</v>
      </c>
      <c r="C858" s="104">
        <v>0.00040173028372176515</v>
      </c>
      <c r="D858" s="80" t="s">
        <v>3370</v>
      </c>
      <c r="E858" s="80" t="b">
        <v>0</v>
      </c>
      <c r="F858" s="80" t="b">
        <v>0</v>
      </c>
      <c r="G858" s="80" t="b">
        <v>0</v>
      </c>
    </row>
    <row r="859" spans="1:7" ht="15">
      <c r="A859" s="81" t="s">
        <v>3062</v>
      </c>
      <c r="B859" s="80">
        <v>2</v>
      </c>
      <c r="C859" s="104">
        <v>0.00040173028372176515</v>
      </c>
      <c r="D859" s="80" t="s">
        <v>3370</v>
      </c>
      <c r="E859" s="80" t="b">
        <v>0</v>
      </c>
      <c r="F859" s="80" t="b">
        <v>0</v>
      </c>
      <c r="G859" s="80" t="b">
        <v>0</v>
      </c>
    </row>
    <row r="860" spans="1:7" ht="15">
      <c r="A860" s="81" t="s">
        <v>3063</v>
      </c>
      <c r="B860" s="80">
        <v>2</v>
      </c>
      <c r="C860" s="104">
        <v>0.00047366098758412623</v>
      </c>
      <c r="D860" s="80" t="s">
        <v>3370</v>
      </c>
      <c r="E860" s="80" t="b">
        <v>0</v>
      </c>
      <c r="F860" s="80" t="b">
        <v>0</v>
      </c>
      <c r="G860" s="80" t="b">
        <v>0</v>
      </c>
    </row>
    <row r="861" spans="1:7" ht="15">
      <c r="A861" s="81" t="s">
        <v>3064</v>
      </c>
      <c r="B861" s="80">
        <v>2</v>
      </c>
      <c r="C861" s="104">
        <v>0.00040173028372176515</v>
      </c>
      <c r="D861" s="80" t="s">
        <v>3370</v>
      </c>
      <c r="E861" s="80" t="b">
        <v>0</v>
      </c>
      <c r="F861" s="80" t="b">
        <v>0</v>
      </c>
      <c r="G861" s="80" t="b">
        <v>0</v>
      </c>
    </row>
    <row r="862" spans="1:7" ht="15">
      <c r="A862" s="81" t="s">
        <v>3065</v>
      </c>
      <c r="B862" s="80">
        <v>2</v>
      </c>
      <c r="C862" s="104">
        <v>0.00047366098758412623</v>
      </c>
      <c r="D862" s="80" t="s">
        <v>3370</v>
      </c>
      <c r="E862" s="80" t="b">
        <v>0</v>
      </c>
      <c r="F862" s="80" t="b">
        <v>0</v>
      </c>
      <c r="G862" s="80" t="b">
        <v>0</v>
      </c>
    </row>
    <row r="863" spans="1:7" ht="15">
      <c r="A863" s="81" t="s">
        <v>3066</v>
      </c>
      <c r="B863" s="80">
        <v>2</v>
      </c>
      <c r="C863" s="104">
        <v>0.00040173028372176515</v>
      </c>
      <c r="D863" s="80" t="s">
        <v>3370</v>
      </c>
      <c r="E863" s="80" t="b">
        <v>0</v>
      </c>
      <c r="F863" s="80" t="b">
        <v>0</v>
      </c>
      <c r="G863" s="80" t="b">
        <v>0</v>
      </c>
    </row>
    <row r="864" spans="1:7" ht="15">
      <c r="A864" s="81" t="s">
        <v>3067</v>
      </c>
      <c r="B864" s="80">
        <v>2</v>
      </c>
      <c r="C864" s="104">
        <v>0.00040173028372176515</v>
      </c>
      <c r="D864" s="80" t="s">
        <v>3370</v>
      </c>
      <c r="E864" s="80" t="b">
        <v>0</v>
      </c>
      <c r="F864" s="80" t="b">
        <v>0</v>
      </c>
      <c r="G864" s="80" t="b">
        <v>0</v>
      </c>
    </row>
    <row r="865" spans="1:7" ht="15">
      <c r="A865" s="81" t="s">
        <v>3068</v>
      </c>
      <c r="B865" s="80">
        <v>2</v>
      </c>
      <c r="C865" s="104">
        <v>0.00047366098758412623</v>
      </c>
      <c r="D865" s="80" t="s">
        <v>3370</v>
      </c>
      <c r="E865" s="80" t="b">
        <v>0</v>
      </c>
      <c r="F865" s="80" t="b">
        <v>0</v>
      </c>
      <c r="G865" s="80" t="b">
        <v>0</v>
      </c>
    </row>
    <row r="866" spans="1:7" ht="15">
      <c r="A866" s="81" t="s">
        <v>3069</v>
      </c>
      <c r="B866" s="80">
        <v>2</v>
      </c>
      <c r="C866" s="104">
        <v>0.00047366098758412623</v>
      </c>
      <c r="D866" s="80" t="s">
        <v>3370</v>
      </c>
      <c r="E866" s="80" t="b">
        <v>0</v>
      </c>
      <c r="F866" s="80" t="b">
        <v>0</v>
      </c>
      <c r="G866" s="80" t="b">
        <v>0</v>
      </c>
    </row>
    <row r="867" spans="1:7" ht="15">
      <c r="A867" s="81" t="s">
        <v>3070</v>
      </c>
      <c r="B867" s="80">
        <v>2</v>
      </c>
      <c r="C867" s="104">
        <v>0.00040173028372176515</v>
      </c>
      <c r="D867" s="80" t="s">
        <v>3370</v>
      </c>
      <c r="E867" s="80" t="b">
        <v>0</v>
      </c>
      <c r="F867" s="80" t="b">
        <v>0</v>
      </c>
      <c r="G867" s="80" t="b">
        <v>0</v>
      </c>
    </row>
    <row r="868" spans="1:7" ht="15">
      <c r="A868" s="81" t="s">
        <v>3071</v>
      </c>
      <c r="B868" s="80">
        <v>2</v>
      </c>
      <c r="C868" s="104">
        <v>0.00040173028372176515</v>
      </c>
      <c r="D868" s="80" t="s">
        <v>3370</v>
      </c>
      <c r="E868" s="80" t="b">
        <v>0</v>
      </c>
      <c r="F868" s="80" t="b">
        <v>0</v>
      </c>
      <c r="G868" s="80" t="b">
        <v>0</v>
      </c>
    </row>
    <row r="869" spans="1:7" ht="15">
      <c r="A869" s="81" t="s">
        <v>3072</v>
      </c>
      <c r="B869" s="80">
        <v>2</v>
      </c>
      <c r="C869" s="104">
        <v>0.00047366098758412623</v>
      </c>
      <c r="D869" s="80" t="s">
        <v>3370</v>
      </c>
      <c r="E869" s="80" t="b">
        <v>0</v>
      </c>
      <c r="F869" s="80" t="b">
        <v>0</v>
      </c>
      <c r="G869" s="80" t="b">
        <v>0</v>
      </c>
    </row>
    <row r="870" spans="1:7" ht="15">
      <c r="A870" s="81" t="s">
        <v>3073</v>
      </c>
      <c r="B870" s="80">
        <v>2</v>
      </c>
      <c r="C870" s="104">
        <v>0.00040173028372176515</v>
      </c>
      <c r="D870" s="80" t="s">
        <v>3370</v>
      </c>
      <c r="E870" s="80" t="b">
        <v>0</v>
      </c>
      <c r="F870" s="80" t="b">
        <v>0</v>
      </c>
      <c r="G870" s="80" t="b">
        <v>0</v>
      </c>
    </row>
    <row r="871" spans="1:7" ht="15">
      <c r="A871" s="81" t="s">
        <v>3074</v>
      </c>
      <c r="B871" s="80">
        <v>2</v>
      </c>
      <c r="C871" s="104">
        <v>0.00040173028372176515</v>
      </c>
      <c r="D871" s="80" t="s">
        <v>3370</v>
      </c>
      <c r="E871" s="80" t="b">
        <v>0</v>
      </c>
      <c r="F871" s="80" t="b">
        <v>0</v>
      </c>
      <c r="G871" s="80" t="b">
        <v>0</v>
      </c>
    </row>
    <row r="872" spans="1:7" ht="15">
      <c r="A872" s="81" t="s">
        <v>3075</v>
      </c>
      <c r="B872" s="80">
        <v>2</v>
      </c>
      <c r="C872" s="104">
        <v>0.00040173028372176515</v>
      </c>
      <c r="D872" s="80" t="s">
        <v>3370</v>
      </c>
      <c r="E872" s="80" t="b">
        <v>0</v>
      </c>
      <c r="F872" s="80" t="b">
        <v>0</v>
      </c>
      <c r="G872" s="80" t="b">
        <v>0</v>
      </c>
    </row>
    <row r="873" spans="1:7" ht="15">
      <c r="A873" s="81" t="s">
        <v>3076</v>
      </c>
      <c r="B873" s="80">
        <v>2</v>
      </c>
      <c r="C873" s="104">
        <v>0.00040173028372176515</v>
      </c>
      <c r="D873" s="80" t="s">
        <v>3370</v>
      </c>
      <c r="E873" s="80" t="b">
        <v>0</v>
      </c>
      <c r="F873" s="80" t="b">
        <v>0</v>
      </c>
      <c r="G873" s="80" t="b">
        <v>0</v>
      </c>
    </row>
    <row r="874" spans="1:7" ht="15">
      <c r="A874" s="81" t="s">
        <v>3077</v>
      </c>
      <c r="B874" s="80">
        <v>2</v>
      </c>
      <c r="C874" s="104">
        <v>0.00040173028372176515</v>
      </c>
      <c r="D874" s="80" t="s">
        <v>3370</v>
      </c>
      <c r="E874" s="80" t="b">
        <v>0</v>
      </c>
      <c r="F874" s="80" t="b">
        <v>0</v>
      </c>
      <c r="G874" s="80" t="b">
        <v>0</v>
      </c>
    </row>
    <row r="875" spans="1:7" ht="15">
      <c r="A875" s="81" t="s">
        <v>3078</v>
      </c>
      <c r="B875" s="80">
        <v>2</v>
      </c>
      <c r="C875" s="104">
        <v>0.00040173028372176515</v>
      </c>
      <c r="D875" s="80" t="s">
        <v>3370</v>
      </c>
      <c r="E875" s="80" t="b">
        <v>0</v>
      </c>
      <c r="F875" s="80" t="b">
        <v>0</v>
      </c>
      <c r="G875" s="80" t="b">
        <v>0</v>
      </c>
    </row>
    <row r="876" spans="1:7" ht="15">
      <c r="A876" s="81" t="s">
        <v>3079</v>
      </c>
      <c r="B876" s="80">
        <v>2</v>
      </c>
      <c r="C876" s="104">
        <v>0.00047366098758412623</v>
      </c>
      <c r="D876" s="80" t="s">
        <v>3370</v>
      </c>
      <c r="E876" s="80" t="b">
        <v>0</v>
      </c>
      <c r="F876" s="80" t="b">
        <v>0</v>
      </c>
      <c r="G876" s="80" t="b">
        <v>0</v>
      </c>
    </row>
    <row r="877" spans="1:7" ht="15">
      <c r="A877" s="81" t="s">
        <v>3080</v>
      </c>
      <c r="B877" s="80">
        <v>2</v>
      </c>
      <c r="C877" s="104">
        <v>0.00040173028372176515</v>
      </c>
      <c r="D877" s="80" t="s">
        <v>3370</v>
      </c>
      <c r="E877" s="80" t="b">
        <v>0</v>
      </c>
      <c r="F877" s="80" t="b">
        <v>0</v>
      </c>
      <c r="G877" s="80" t="b">
        <v>0</v>
      </c>
    </row>
    <row r="878" spans="1:7" ht="15">
      <c r="A878" s="81" t="s">
        <v>3081</v>
      </c>
      <c r="B878" s="80">
        <v>2</v>
      </c>
      <c r="C878" s="104">
        <v>0.00040173028372176515</v>
      </c>
      <c r="D878" s="80" t="s">
        <v>3370</v>
      </c>
      <c r="E878" s="80" t="b">
        <v>0</v>
      </c>
      <c r="F878" s="80" t="b">
        <v>0</v>
      </c>
      <c r="G878" s="80" t="b">
        <v>0</v>
      </c>
    </row>
    <row r="879" spans="1:7" ht="15">
      <c r="A879" s="81" t="s">
        <v>3082</v>
      </c>
      <c r="B879" s="80">
        <v>2</v>
      </c>
      <c r="C879" s="104">
        <v>0.00040173028372176515</v>
      </c>
      <c r="D879" s="80" t="s">
        <v>3370</v>
      </c>
      <c r="E879" s="80" t="b">
        <v>0</v>
      </c>
      <c r="F879" s="80" t="b">
        <v>0</v>
      </c>
      <c r="G879" s="80" t="b">
        <v>0</v>
      </c>
    </row>
    <row r="880" spans="1:7" ht="15">
      <c r="A880" s="81" t="s">
        <v>3083</v>
      </c>
      <c r="B880" s="80">
        <v>2</v>
      </c>
      <c r="C880" s="104">
        <v>0.00047366098758412623</v>
      </c>
      <c r="D880" s="80" t="s">
        <v>3370</v>
      </c>
      <c r="E880" s="80" t="b">
        <v>0</v>
      </c>
      <c r="F880" s="80" t="b">
        <v>0</v>
      </c>
      <c r="G880" s="80" t="b">
        <v>0</v>
      </c>
    </row>
    <row r="881" spans="1:7" ht="15">
      <c r="A881" s="81" t="s">
        <v>3084</v>
      </c>
      <c r="B881" s="80">
        <v>2</v>
      </c>
      <c r="C881" s="104">
        <v>0.00040173028372176515</v>
      </c>
      <c r="D881" s="80" t="s">
        <v>3370</v>
      </c>
      <c r="E881" s="80" t="b">
        <v>0</v>
      </c>
      <c r="F881" s="80" t="b">
        <v>0</v>
      </c>
      <c r="G881" s="80" t="b">
        <v>0</v>
      </c>
    </row>
    <row r="882" spans="1:7" ht="15">
      <c r="A882" s="81" t="s">
        <v>3085</v>
      </c>
      <c r="B882" s="80">
        <v>2</v>
      </c>
      <c r="C882" s="104">
        <v>0.00047366098758412623</v>
      </c>
      <c r="D882" s="80" t="s">
        <v>3370</v>
      </c>
      <c r="E882" s="80" t="b">
        <v>0</v>
      </c>
      <c r="F882" s="80" t="b">
        <v>0</v>
      </c>
      <c r="G882" s="80" t="b">
        <v>0</v>
      </c>
    </row>
    <row r="883" spans="1:7" ht="15">
      <c r="A883" s="81" t="s">
        <v>3086</v>
      </c>
      <c r="B883" s="80">
        <v>2</v>
      </c>
      <c r="C883" s="104">
        <v>0.00040173028372176515</v>
      </c>
      <c r="D883" s="80" t="s">
        <v>3370</v>
      </c>
      <c r="E883" s="80" t="b">
        <v>0</v>
      </c>
      <c r="F883" s="80" t="b">
        <v>0</v>
      </c>
      <c r="G883" s="80" t="b">
        <v>0</v>
      </c>
    </row>
    <row r="884" spans="1:7" ht="15">
      <c r="A884" s="81" t="s">
        <v>3087</v>
      </c>
      <c r="B884" s="80">
        <v>2</v>
      </c>
      <c r="C884" s="104">
        <v>0.00040173028372176515</v>
      </c>
      <c r="D884" s="80" t="s">
        <v>3370</v>
      </c>
      <c r="E884" s="80" t="b">
        <v>0</v>
      </c>
      <c r="F884" s="80" t="b">
        <v>0</v>
      </c>
      <c r="G884" s="80" t="b">
        <v>0</v>
      </c>
    </row>
    <row r="885" spans="1:7" ht="15">
      <c r="A885" s="81" t="s">
        <v>3088</v>
      </c>
      <c r="B885" s="80">
        <v>2</v>
      </c>
      <c r="C885" s="104">
        <v>0.00047366098758412623</v>
      </c>
      <c r="D885" s="80" t="s">
        <v>3370</v>
      </c>
      <c r="E885" s="80" t="b">
        <v>0</v>
      </c>
      <c r="F885" s="80" t="b">
        <v>0</v>
      </c>
      <c r="G885" s="80" t="b">
        <v>0</v>
      </c>
    </row>
    <row r="886" spans="1:7" ht="15">
      <c r="A886" s="81" t="s">
        <v>3089</v>
      </c>
      <c r="B886" s="80">
        <v>2</v>
      </c>
      <c r="C886" s="104">
        <v>0.00040173028372176515</v>
      </c>
      <c r="D886" s="80" t="s">
        <v>3370</v>
      </c>
      <c r="E886" s="80" t="b">
        <v>0</v>
      </c>
      <c r="F886" s="80" t="b">
        <v>0</v>
      </c>
      <c r="G886" s="80" t="b">
        <v>0</v>
      </c>
    </row>
    <row r="887" spans="1:7" ht="15">
      <c r="A887" s="81" t="s">
        <v>3090</v>
      </c>
      <c r="B887" s="80">
        <v>2</v>
      </c>
      <c r="C887" s="104">
        <v>0.00040173028372176515</v>
      </c>
      <c r="D887" s="80" t="s">
        <v>3370</v>
      </c>
      <c r="E887" s="80" t="b">
        <v>0</v>
      </c>
      <c r="F887" s="80" t="b">
        <v>0</v>
      </c>
      <c r="G887" s="80" t="b">
        <v>0</v>
      </c>
    </row>
    <row r="888" spans="1:7" ht="15">
      <c r="A888" s="81" t="s">
        <v>3091</v>
      </c>
      <c r="B888" s="80">
        <v>2</v>
      </c>
      <c r="C888" s="104">
        <v>0.00047366098758412623</v>
      </c>
      <c r="D888" s="80" t="s">
        <v>3370</v>
      </c>
      <c r="E888" s="80" t="b">
        <v>0</v>
      </c>
      <c r="F888" s="80" t="b">
        <v>0</v>
      </c>
      <c r="G888" s="80" t="b">
        <v>0</v>
      </c>
    </row>
    <row r="889" spans="1:7" ht="15">
      <c r="A889" s="81" t="s">
        <v>3092</v>
      </c>
      <c r="B889" s="80">
        <v>2</v>
      </c>
      <c r="C889" s="104">
        <v>0.00047366098758412623</v>
      </c>
      <c r="D889" s="80" t="s">
        <v>3370</v>
      </c>
      <c r="E889" s="80" t="b">
        <v>0</v>
      </c>
      <c r="F889" s="80" t="b">
        <v>0</v>
      </c>
      <c r="G889" s="80" t="b">
        <v>0</v>
      </c>
    </row>
    <row r="890" spans="1:7" ht="15">
      <c r="A890" s="81" t="s">
        <v>3093</v>
      </c>
      <c r="B890" s="80">
        <v>2</v>
      </c>
      <c r="C890" s="104">
        <v>0.00047366098758412623</v>
      </c>
      <c r="D890" s="80" t="s">
        <v>3370</v>
      </c>
      <c r="E890" s="80" t="b">
        <v>0</v>
      </c>
      <c r="F890" s="80" t="b">
        <v>0</v>
      </c>
      <c r="G890" s="80" t="b">
        <v>0</v>
      </c>
    </row>
    <row r="891" spans="1:7" ht="15">
      <c r="A891" s="81" t="s">
        <v>3094</v>
      </c>
      <c r="B891" s="80">
        <v>2</v>
      </c>
      <c r="C891" s="104">
        <v>0.00047366098758412623</v>
      </c>
      <c r="D891" s="80" t="s">
        <v>3370</v>
      </c>
      <c r="E891" s="80" t="b">
        <v>0</v>
      </c>
      <c r="F891" s="80" t="b">
        <v>0</v>
      </c>
      <c r="G891" s="80" t="b">
        <v>0</v>
      </c>
    </row>
    <row r="892" spans="1:7" ht="15">
      <c r="A892" s="81" t="s">
        <v>3095</v>
      </c>
      <c r="B892" s="80">
        <v>2</v>
      </c>
      <c r="C892" s="104">
        <v>0.00040173028372176515</v>
      </c>
      <c r="D892" s="80" t="s">
        <v>3370</v>
      </c>
      <c r="E892" s="80" t="b">
        <v>0</v>
      </c>
      <c r="F892" s="80" t="b">
        <v>0</v>
      </c>
      <c r="G892" s="80" t="b">
        <v>0</v>
      </c>
    </row>
    <row r="893" spans="1:7" ht="15">
      <c r="A893" s="81" t="s">
        <v>3096</v>
      </c>
      <c r="B893" s="80">
        <v>2</v>
      </c>
      <c r="C893" s="104">
        <v>0.00040173028372176515</v>
      </c>
      <c r="D893" s="80" t="s">
        <v>3370</v>
      </c>
      <c r="E893" s="80" t="b">
        <v>0</v>
      </c>
      <c r="F893" s="80" t="b">
        <v>0</v>
      </c>
      <c r="G893" s="80" t="b">
        <v>0</v>
      </c>
    </row>
    <row r="894" spans="1:7" ht="15">
      <c r="A894" s="81" t="s">
        <v>3097</v>
      </c>
      <c r="B894" s="80">
        <v>2</v>
      </c>
      <c r="C894" s="104">
        <v>0.00040173028372176515</v>
      </c>
      <c r="D894" s="80" t="s">
        <v>3370</v>
      </c>
      <c r="E894" s="80" t="b">
        <v>0</v>
      </c>
      <c r="F894" s="80" t="b">
        <v>0</v>
      </c>
      <c r="G894" s="80" t="b">
        <v>0</v>
      </c>
    </row>
    <row r="895" spans="1:7" ht="15">
      <c r="A895" s="81" t="s">
        <v>3098</v>
      </c>
      <c r="B895" s="80">
        <v>2</v>
      </c>
      <c r="C895" s="104">
        <v>0.00047366098758412623</v>
      </c>
      <c r="D895" s="80" t="s">
        <v>3370</v>
      </c>
      <c r="E895" s="80" t="b">
        <v>0</v>
      </c>
      <c r="F895" s="80" t="b">
        <v>0</v>
      </c>
      <c r="G895" s="80" t="b">
        <v>0</v>
      </c>
    </row>
    <row r="896" spans="1:7" ht="15">
      <c r="A896" s="81" t="s">
        <v>3099</v>
      </c>
      <c r="B896" s="80">
        <v>2</v>
      </c>
      <c r="C896" s="104">
        <v>0.00040173028372176515</v>
      </c>
      <c r="D896" s="80" t="s">
        <v>3370</v>
      </c>
      <c r="E896" s="80" t="b">
        <v>0</v>
      </c>
      <c r="F896" s="80" t="b">
        <v>0</v>
      </c>
      <c r="G896" s="80" t="b">
        <v>0</v>
      </c>
    </row>
    <row r="897" spans="1:7" ht="15">
      <c r="A897" s="81" t="s">
        <v>3100</v>
      </c>
      <c r="B897" s="80">
        <v>2</v>
      </c>
      <c r="C897" s="104">
        <v>0.00040173028372176515</v>
      </c>
      <c r="D897" s="80" t="s">
        <v>3370</v>
      </c>
      <c r="E897" s="80" t="b">
        <v>0</v>
      </c>
      <c r="F897" s="80" t="b">
        <v>0</v>
      </c>
      <c r="G897" s="80" t="b">
        <v>0</v>
      </c>
    </row>
    <row r="898" spans="1:7" ht="15">
      <c r="A898" s="81" t="s">
        <v>3101</v>
      </c>
      <c r="B898" s="80">
        <v>2</v>
      </c>
      <c r="C898" s="104">
        <v>0.00047366098758412623</v>
      </c>
      <c r="D898" s="80" t="s">
        <v>3370</v>
      </c>
      <c r="E898" s="80" t="b">
        <v>0</v>
      </c>
      <c r="F898" s="80" t="b">
        <v>0</v>
      </c>
      <c r="G898" s="80" t="b">
        <v>0</v>
      </c>
    </row>
    <row r="899" spans="1:7" ht="15">
      <c r="A899" s="81" t="s">
        <v>3102</v>
      </c>
      <c r="B899" s="80">
        <v>2</v>
      </c>
      <c r="C899" s="104">
        <v>0.00040173028372176515</v>
      </c>
      <c r="D899" s="80" t="s">
        <v>3370</v>
      </c>
      <c r="E899" s="80" t="b">
        <v>0</v>
      </c>
      <c r="F899" s="80" t="b">
        <v>0</v>
      </c>
      <c r="G899" s="80" t="b">
        <v>0</v>
      </c>
    </row>
    <row r="900" spans="1:7" ht="15">
      <c r="A900" s="81" t="s">
        <v>3103</v>
      </c>
      <c r="B900" s="80">
        <v>2</v>
      </c>
      <c r="C900" s="104">
        <v>0.00040173028372176515</v>
      </c>
      <c r="D900" s="80" t="s">
        <v>3370</v>
      </c>
      <c r="E900" s="80" t="b">
        <v>0</v>
      </c>
      <c r="F900" s="80" t="b">
        <v>0</v>
      </c>
      <c r="G900" s="80" t="b">
        <v>0</v>
      </c>
    </row>
    <row r="901" spans="1:7" ht="15">
      <c r="A901" s="81" t="s">
        <v>3104</v>
      </c>
      <c r="B901" s="80">
        <v>2</v>
      </c>
      <c r="C901" s="104">
        <v>0.00040173028372176515</v>
      </c>
      <c r="D901" s="80" t="s">
        <v>3370</v>
      </c>
      <c r="E901" s="80" t="b">
        <v>1</v>
      </c>
      <c r="F901" s="80" t="b">
        <v>0</v>
      </c>
      <c r="G901" s="80" t="b">
        <v>0</v>
      </c>
    </row>
    <row r="902" spans="1:7" ht="15">
      <c r="A902" s="81" t="s">
        <v>3105</v>
      </c>
      <c r="B902" s="80">
        <v>2</v>
      </c>
      <c r="C902" s="104">
        <v>0.00047366098758412623</v>
      </c>
      <c r="D902" s="80" t="s">
        <v>3370</v>
      </c>
      <c r="E902" s="80" t="b">
        <v>0</v>
      </c>
      <c r="F902" s="80" t="b">
        <v>0</v>
      </c>
      <c r="G902" s="80" t="b">
        <v>0</v>
      </c>
    </row>
    <row r="903" spans="1:7" ht="15">
      <c r="A903" s="81" t="s">
        <v>3106</v>
      </c>
      <c r="B903" s="80">
        <v>2</v>
      </c>
      <c r="C903" s="104">
        <v>0.00040173028372176515</v>
      </c>
      <c r="D903" s="80" t="s">
        <v>3370</v>
      </c>
      <c r="E903" s="80" t="b">
        <v>0</v>
      </c>
      <c r="F903" s="80" t="b">
        <v>0</v>
      </c>
      <c r="G903" s="80" t="b">
        <v>0</v>
      </c>
    </row>
    <row r="904" spans="1:7" ht="15">
      <c r="A904" s="81" t="s">
        <v>3107</v>
      </c>
      <c r="B904" s="80">
        <v>2</v>
      </c>
      <c r="C904" s="104">
        <v>0.00047366098758412623</v>
      </c>
      <c r="D904" s="80" t="s">
        <v>3370</v>
      </c>
      <c r="E904" s="80" t="b">
        <v>0</v>
      </c>
      <c r="F904" s="80" t="b">
        <v>0</v>
      </c>
      <c r="G904" s="80" t="b">
        <v>0</v>
      </c>
    </row>
    <row r="905" spans="1:7" ht="15">
      <c r="A905" s="81" t="s">
        <v>3108</v>
      </c>
      <c r="B905" s="80">
        <v>2</v>
      </c>
      <c r="C905" s="104">
        <v>0.00040173028372176515</v>
      </c>
      <c r="D905" s="80" t="s">
        <v>3370</v>
      </c>
      <c r="E905" s="80" t="b">
        <v>0</v>
      </c>
      <c r="F905" s="80" t="b">
        <v>0</v>
      </c>
      <c r="G905" s="80" t="b">
        <v>0</v>
      </c>
    </row>
    <row r="906" spans="1:7" ht="15">
      <c r="A906" s="81" t="s">
        <v>3109</v>
      </c>
      <c r="B906" s="80">
        <v>2</v>
      </c>
      <c r="C906" s="104">
        <v>0.00040173028372176515</v>
      </c>
      <c r="D906" s="80" t="s">
        <v>3370</v>
      </c>
      <c r="E906" s="80" t="b">
        <v>0</v>
      </c>
      <c r="F906" s="80" t="b">
        <v>0</v>
      </c>
      <c r="G906" s="80" t="b">
        <v>0</v>
      </c>
    </row>
    <row r="907" spans="1:7" ht="15">
      <c r="A907" s="81" t="s">
        <v>3110</v>
      </c>
      <c r="B907" s="80">
        <v>2</v>
      </c>
      <c r="C907" s="104">
        <v>0.00040173028372176515</v>
      </c>
      <c r="D907" s="80" t="s">
        <v>3370</v>
      </c>
      <c r="E907" s="80" t="b">
        <v>0</v>
      </c>
      <c r="F907" s="80" t="b">
        <v>0</v>
      </c>
      <c r="G907" s="80" t="b">
        <v>0</v>
      </c>
    </row>
    <row r="908" spans="1:7" ht="15">
      <c r="A908" s="81" t="s">
        <v>3111</v>
      </c>
      <c r="B908" s="80">
        <v>2</v>
      </c>
      <c r="C908" s="104">
        <v>0.00040173028372176515</v>
      </c>
      <c r="D908" s="80" t="s">
        <v>3370</v>
      </c>
      <c r="E908" s="80" t="b">
        <v>0</v>
      </c>
      <c r="F908" s="80" t="b">
        <v>0</v>
      </c>
      <c r="G908" s="80" t="b">
        <v>0</v>
      </c>
    </row>
    <row r="909" spans="1:7" ht="15">
      <c r="A909" s="81" t="s">
        <v>3112</v>
      </c>
      <c r="B909" s="80">
        <v>2</v>
      </c>
      <c r="C909" s="104">
        <v>0.00040173028372176515</v>
      </c>
      <c r="D909" s="80" t="s">
        <v>3370</v>
      </c>
      <c r="E909" s="80" t="b">
        <v>0</v>
      </c>
      <c r="F909" s="80" t="b">
        <v>0</v>
      </c>
      <c r="G909" s="80" t="b">
        <v>0</v>
      </c>
    </row>
    <row r="910" spans="1:7" ht="15">
      <c r="A910" s="81" t="s">
        <v>3113</v>
      </c>
      <c r="B910" s="80">
        <v>2</v>
      </c>
      <c r="C910" s="104">
        <v>0.00040173028372176515</v>
      </c>
      <c r="D910" s="80" t="s">
        <v>3370</v>
      </c>
      <c r="E910" s="80" t="b">
        <v>0</v>
      </c>
      <c r="F910" s="80" t="b">
        <v>0</v>
      </c>
      <c r="G910" s="80" t="b">
        <v>0</v>
      </c>
    </row>
    <row r="911" spans="1:7" ht="15">
      <c r="A911" s="81" t="s">
        <v>3114</v>
      </c>
      <c r="B911" s="80">
        <v>2</v>
      </c>
      <c r="C911" s="104">
        <v>0.00047366098758412623</v>
      </c>
      <c r="D911" s="80" t="s">
        <v>3370</v>
      </c>
      <c r="E911" s="80" t="b">
        <v>0</v>
      </c>
      <c r="F911" s="80" t="b">
        <v>0</v>
      </c>
      <c r="G911" s="80" t="b">
        <v>0</v>
      </c>
    </row>
    <row r="912" spans="1:7" ht="15">
      <c r="A912" s="81" t="s">
        <v>3115</v>
      </c>
      <c r="B912" s="80">
        <v>2</v>
      </c>
      <c r="C912" s="104">
        <v>0.00040173028372176515</v>
      </c>
      <c r="D912" s="80" t="s">
        <v>3370</v>
      </c>
      <c r="E912" s="80" t="b">
        <v>0</v>
      </c>
      <c r="F912" s="80" t="b">
        <v>0</v>
      </c>
      <c r="G912" s="80" t="b">
        <v>0</v>
      </c>
    </row>
    <row r="913" spans="1:7" ht="15">
      <c r="A913" s="81" t="s">
        <v>3116</v>
      </c>
      <c r="B913" s="80">
        <v>2</v>
      </c>
      <c r="C913" s="104">
        <v>0.00047366098758412623</v>
      </c>
      <c r="D913" s="80" t="s">
        <v>3370</v>
      </c>
      <c r="E913" s="80" t="b">
        <v>0</v>
      </c>
      <c r="F913" s="80" t="b">
        <v>0</v>
      </c>
      <c r="G913" s="80" t="b">
        <v>0</v>
      </c>
    </row>
    <row r="914" spans="1:7" ht="15">
      <c r="A914" s="81" t="s">
        <v>3117</v>
      </c>
      <c r="B914" s="80">
        <v>2</v>
      </c>
      <c r="C914" s="104">
        <v>0.00040173028372176515</v>
      </c>
      <c r="D914" s="80" t="s">
        <v>3370</v>
      </c>
      <c r="E914" s="80" t="b">
        <v>0</v>
      </c>
      <c r="F914" s="80" t="b">
        <v>0</v>
      </c>
      <c r="G914" s="80" t="b">
        <v>0</v>
      </c>
    </row>
    <row r="915" spans="1:7" ht="15">
      <c r="A915" s="81" t="s">
        <v>3118</v>
      </c>
      <c r="B915" s="80">
        <v>2</v>
      </c>
      <c r="C915" s="104">
        <v>0.00047366098758412623</v>
      </c>
      <c r="D915" s="80" t="s">
        <v>3370</v>
      </c>
      <c r="E915" s="80" t="b">
        <v>0</v>
      </c>
      <c r="F915" s="80" t="b">
        <v>0</v>
      </c>
      <c r="G915" s="80" t="b">
        <v>0</v>
      </c>
    </row>
    <row r="916" spans="1:7" ht="15">
      <c r="A916" s="81" t="s">
        <v>3119</v>
      </c>
      <c r="B916" s="80">
        <v>2</v>
      </c>
      <c r="C916" s="104">
        <v>0.00040173028372176515</v>
      </c>
      <c r="D916" s="80" t="s">
        <v>3370</v>
      </c>
      <c r="E916" s="80" t="b">
        <v>0</v>
      </c>
      <c r="F916" s="80" t="b">
        <v>0</v>
      </c>
      <c r="G916" s="80" t="b">
        <v>0</v>
      </c>
    </row>
    <row r="917" spans="1:7" ht="15">
      <c r="A917" s="81" t="s">
        <v>3120</v>
      </c>
      <c r="B917" s="80">
        <v>2</v>
      </c>
      <c r="C917" s="104">
        <v>0.00040173028372176515</v>
      </c>
      <c r="D917" s="80" t="s">
        <v>3370</v>
      </c>
      <c r="E917" s="80" t="b">
        <v>0</v>
      </c>
      <c r="F917" s="80" t="b">
        <v>0</v>
      </c>
      <c r="G917" s="80" t="b">
        <v>0</v>
      </c>
    </row>
    <row r="918" spans="1:7" ht="15">
      <c r="A918" s="81" t="s">
        <v>3121</v>
      </c>
      <c r="B918" s="80">
        <v>2</v>
      </c>
      <c r="C918" s="104">
        <v>0.00040173028372176515</v>
      </c>
      <c r="D918" s="80" t="s">
        <v>3370</v>
      </c>
      <c r="E918" s="80" t="b">
        <v>0</v>
      </c>
      <c r="F918" s="80" t="b">
        <v>0</v>
      </c>
      <c r="G918" s="80" t="b">
        <v>0</v>
      </c>
    </row>
    <row r="919" spans="1:7" ht="15">
      <c r="A919" s="81" t="s">
        <v>3122</v>
      </c>
      <c r="B919" s="80">
        <v>2</v>
      </c>
      <c r="C919" s="104">
        <v>0.00040173028372176515</v>
      </c>
      <c r="D919" s="80" t="s">
        <v>3370</v>
      </c>
      <c r="E919" s="80" t="b">
        <v>0</v>
      </c>
      <c r="F919" s="80" t="b">
        <v>0</v>
      </c>
      <c r="G919" s="80" t="b">
        <v>0</v>
      </c>
    </row>
    <row r="920" spans="1:7" ht="15">
      <c r="A920" s="81" t="s">
        <v>3123</v>
      </c>
      <c r="B920" s="80">
        <v>2</v>
      </c>
      <c r="C920" s="104">
        <v>0.00040173028372176515</v>
      </c>
      <c r="D920" s="80" t="s">
        <v>3370</v>
      </c>
      <c r="E920" s="80" t="b">
        <v>0</v>
      </c>
      <c r="F920" s="80" t="b">
        <v>0</v>
      </c>
      <c r="G920" s="80" t="b">
        <v>0</v>
      </c>
    </row>
    <row r="921" spans="1:7" ht="15">
      <c r="A921" s="81" t="s">
        <v>3124</v>
      </c>
      <c r="B921" s="80">
        <v>2</v>
      </c>
      <c r="C921" s="104">
        <v>0.00040173028372176515</v>
      </c>
      <c r="D921" s="80" t="s">
        <v>3370</v>
      </c>
      <c r="E921" s="80" t="b">
        <v>0</v>
      </c>
      <c r="F921" s="80" t="b">
        <v>0</v>
      </c>
      <c r="G921" s="80" t="b">
        <v>0</v>
      </c>
    </row>
    <row r="922" spans="1:7" ht="15">
      <c r="A922" s="81" t="s">
        <v>3125</v>
      </c>
      <c r="B922" s="80">
        <v>2</v>
      </c>
      <c r="C922" s="104">
        <v>0.00040173028372176515</v>
      </c>
      <c r="D922" s="80" t="s">
        <v>3370</v>
      </c>
      <c r="E922" s="80" t="b">
        <v>0</v>
      </c>
      <c r="F922" s="80" t="b">
        <v>0</v>
      </c>
      <c r="G922" s="80" t="b">
        <v>0</v>
      </c>
    </row>
    <row r="923" spans="1:7" ht="15">
      <c r="A923" s="81" t="s">
        <v>3126</v>
      </c>
      <c r="B923" s="80">
        <v>2</v>
      </c>
      <c r="C923" s="104">
        <v>0.00040173028372176515</v>
      </c>
      <c r="D923" s="80" t="s">
        <v>3370</v>
      </c>
      <c r="E923" s="80" t="b">
        <v>0</v>
      </c>
      <c r="F923" s="80" t="b">
        <v>0</v>
      </c>
      <c r="G923" s="80" t="b">
        <v>0</v>
      </c>
    </row>
    <row r="924" spans="1:7" ht="15">
      <c r="A924" s="81" t="s">
        <v>3127</v>
      </c>
      <c r="B924" s="80">
        <v>2</v>
      </c>
      <c r="C924" s="104">
        <v>0.00040173028372176515</v>
      </c>
      <c r="D924" s="80" t="s">
        <v>3370</v>
      </c>
      <c r="E924" s="80" t="b">
        <v>0</v>
      </c>
      <c r="F924" s="80" t="b">
        <v>0</v>
      </c>
      <c r="G924" s="80" t="b">
        <v>0</v>
      </c>
    </row>
    <row r="925" spans="1:7" ht="15">
      <c r="A925" s="81" t="s">
        <v>3128</v>
      </c>
      <c r="B925" s="80">
        <v>2</v>
      </c>
      <c r="C925" s="104">
        <v>0.00040173028372176515</v>
      </c>
      <c r="D925" s="80" t="s">
        <v>3370</v>
      </c>
      <c r="E925" s="80" t="b">
        <v>0</v>
      </c>
      <c r="F925" s="80" t="b">
        <v>0</v>
      </c>
      <c r="G925" s="80" t="b">
        <v>0</v>
      </c>
    </row>
    <row r="926" spans="1:7" ht="15">
      <c r="A926" s="81" t="s">
        <v>3129</v>
      </c>
      <c r="B926" s="80">
        <v>2</v>
      </c>
      <c r="C926" s="104">
        <v>0.00040173028372176515</v>
      </c>
      <c r="D926" s="80" t="s">
        <v>3370</v>
      </c>
      <c r="E926" s="80" t="b">
        <v>0</v>
      </c>
      <c r="F926" s="80" t="b">
        <v>0</v>
      </c>
      <c r="G926" s="80" t="b">
        <v>0</v>
      </c>
    </row>
    <row r="927" spans="1:7" ht="15">
      <c r="A927" s="81" t="s">
        <v>3130</v>
      </c>
      <c r="B927" s="80">
        <v>2</v>
      </c>
      <c r="C927" s="104">
        <v>0.00040173028372176515</v>
      </c>
      <c r="D927" s="80" t="s">
        <v>3370</v>
      </c>
      <c r="E927" s="80" t="b">
        <v>0</v>
      </c>
      <c r="F927" s="80" t="b">
        <v>0</v>
      </c>
      <c r="G927" s="80" t="b">
        <v>0</v>
      </c>
    </row>
    <row r="928" spans="1:7" ht="15">
      <c r="A928" s="81" t="s">
        <v>3131</v>
      </c>
      <c r="B928" s="80">
        <v>2</v>
      </c>
      <c r="C928" s="104">
        <v>0.00040173028372176515</v>
      </c>
      <c r="D928" s="80" t="s">
        <v>3370</v>
      </c>
      <c r="E928" s="80" t="b">
        <v>0</v>
      </c>
      <c r="F928" s="80" t="b">
        <v>0</v>
      </c>
      <c r="G928" s="80" t="b">
        <v>0</v>
      </c>
    </row>
    <row r="929" spans="1:7" ht="15">
      <c r="A929" s="81" t="s">
        <v>3132</v>
      </c>
      <c r="B929" s="80">
        <v>2</v>
      </c>
      <c r="C929" s="104">
        <v>0.00047366098758412623</v>
      </c>
      <c r="D929" s="80" t="s">
        <v>3370</v>
      </c>
      <c r="E929" s="80" t="b">
        <v>0</v>
      </c>
      <c r="F929" s="80" t="b">
        <v>0</v>
      </c>
      <c r="G929" s="80" t="b">
        <v>0</v>
      </c>
    </row>
    <row r="930" spans="1:7" ht="15">
      <c r="A930" s="81" t="s">
        <v>3133</v>
      </c>
      <c r="B930" s="80">
        <v>2</v>
      </c>
      <c r="C930" s="104">
        <v>0.00040173028372176515</v>
      </c>
      <c r="D930" s="80" t="s">
        <v>3370</v>
      </c>
      <c r="E930" s="80" t="b">
        <v>0</v>
      </c>
      <c r="F930" s="80" t="b">
        <v>0</v>
      </c>
      <c r="G930" s="80" t="b">
        <v>0</v>
      </c>
    </row>
    <row r="931" spans="1:7" ht="15">
      <c r="A931" s="81" t="s">
        <v>3134</v>
      </c>
      <c r="B931" s="80">
        <v>2</v>
      </c>
      <c r="C931" s="104">
        <v>0.00040173028372176515</v>
      </c>
      <c r="D931" s="80" t="s">
        <v>3370</v>
      </c>
      <c r="E931" s="80" t="b">
        <v>0</v>
      </c>
      <c r="F931" s="80" t="b">
        <v>0</v>
      </c>
      <c r="G931" s="80" t="b">
        <v>0</v>
      </c>
    </row>
    <row r="932" spans="1:7" ht="15">
      <c r="A932" s="81" t="s">
        <v>3135</v>
      </c>
      <c r="B932" s="80">
        <v>2</v>
      </c>
      <c r="C932" s="104">
        <v>0.00040173028372176515</v>
      </c>
      <c r="D932" s="80" t="s">
        <v>3370</v>
      </c>
      <c r="E932" s="80" t="b">
        <v>0</v>
      </c>
      <c r="F932" s="80" t="b">
        <v>0</v>
      </c>
      <c r="G932" s="80" t="b">
        <v>0</v>
      </c>
    </row>
    <row r="933" spans="1:7" ht="15">
      <c r="A933" s="81" t="s">
        <v>3136</v>
      </c>
      <c r="B933" s="80">
        <v>2</v>
      </c>
      <c r="C933" s="104">
        <v>0.00040173028372176515</v>
      </c>
      <c r="D933" s="80" t="s">
        <v>3370</v>
      </c>
      <c r="E933" s="80" t="b">
        <v>0</v>
      </c>
      <c r="F933" s="80" t="b">
        <v>0</v>
      </c>
      <c r="G933" s="80" t="b">
        <v>0</v>
      </c>
    </row>
    <row r="934" spans="1:7" ht="15">
      <c r="A934" s="81" t="s">
        <v>3137</v>
      </c>
      <c r="B934" s="80">
        <v>2</v>
      </c>
      <c r="C934" s="104">
        <v>0.00047366098758412623</v>
      </c>
      <c r="D934" s="80" t="s">
        <v>3370</v>
      </c>
      <c r="E934" s="80" t="b">
        <v>0</v>
      </c>
      <c r="F934" s="80" t="b">
        <v>0</v>
      </c>
      <c r="G934" s="80" t="b">
        <v>0</v>
      </c>
    </row>
    <row r="935" spans="1:7" ht="15">
      <c r="A935" s="81" t="s">
        <v>3138</v>
      </c>
      <c r="B935" s="80">
        <v>2</v>
      </c>
      <c r="C935" s="104">
        <v>0.00047366098758412623</v>
      </c>
      <c r="D935" s="80" t="s">
        <v>3370</v>
      </c>
      <c r="E935" s="80" t="b">
        <v>0</v>
      </c>
      <c r="F935" s="80" t="b">
        <v>0</v>
      </c>
      <c r="G935" s="80" t="b">
        <v>0</v>
      </c>
    </row>
    <row r="936" spans="1:7" ht="15">
      <c r="A936" s="81" t="s">
        <v>3139</v>
      </c>
      <c r="B936" s="80">
        <v>2</v>
      </c>
      <c r="C936" s="104">
        <v>0.00047366098758412623</v>
      </c>
      <c r="D936" s="80" t="s">
        <v>3370</v>
      </c>
      <c r="E936" s="80" t="b">
        <v>0</v>
      </c>
      <c r="F936" s="80" t="b">
        <v>0</v>
      </c>
      <c r="G936" s="80" t="b">
        <v>0</v>
      </c>
    </row>
    <row r="937" spans="1:7" ht="15">
      <c r="A937" s="81" t="s">
        <v>3140</v>
      </c>
      <c r="B937" s="80">
        <v>2</v>
      </c>
      <c r="C937" s="104">
        <v>0.00040173028372176515</v>
      </c>
      <c r="D937" s="80" t="s">
        <v>3370</v>
      </c>
      <c r="E937" s="80" t="b">
        <v>0</v>
      </c>
      <c r="F937" s="80" t="b">
        <v>0</v>
      </c>
      <c r="G937" s="80" t="b">
        <v>0</v>
      </c>
    </row>
    <row r="938" spans="1:7" ht="15">
      <c r="A938" s="81" t="s">
        <v>3141</v>
      </c>
      <c r="B938" s="80">
        <v>2</v>
      </c>
      <c r="C938" s="104">
        <v>0.00040173028372176515</v>
      </c>
      <c r="D938" s="80" t="s">
        <v>3370</v>
      </c>
      <c r="E938" s="80" t="b">
        <v>0</v>
      </c>
      <c r="F938" s="80" t="b">
        <v>0</v>
      </c>
      <c r="G938" s="80" t="b">
        <v>0</v>
      </c>
    </row>
    <row r="939" spans="1:7" ht="15">
      <c r="A939" s="81" t="s">
        <v>3142</v>
      </c>
      <c r="B939" s="80">
        <v>2</v>
      </c>
      <c r="C939" s="104">
        <v>0.00040173028372176515</v>
      </c>
      <c r="D939" s="80" t="s">
        <v>3370</v>
      </c>
      <c r="E939" s="80" t="b">
        <v>0</v>
      </c>
      <c r="F939" s="80" t="b">
        <v>0</v>
      </c>
      <c r="G939" s="80" t="b">
        <v>0</v>
      </c>
    </row>
    <row r="940" spans="1:7" ht="15">
      <c r="A940" s="81" t="s">
        <v>3143</v>
      </c>
      <c r="B940" s="80">
        <v>2</v>
      </c>
      <c r="C940" s="104">
        <v>0.00047366098758412623</v>
      </c>
      <c r="D940" s="80" t="s">
        <v>3370</v>
      </c>
      <c r="E940" s="80" t="b">
        <v>0</v>
      </c>
      <c r="F940" s="80" t="b">
        <v>0</v>
      </c>
      <c r="G940" s="80" t="b">
        <v>0</v>
      </c>
    </row>
    <row r="941" spans="1:7" ht="15">
      <c r="A941" s="81" t="s">
        <v>3144</v>
      </c>
      <c r="B941" s="80">
        <v>2</v>
      </c>
      <c r="C941" s="104">
        <v>0.00047366098758412623</v>
      </c>
      <c r="D941" s="80" t="s">
        <v>3370</v>
      </c>
      <c r="E941" s="80" t="b">
        <v>0</v>
      </c>
      <c r="F941" s="80" t="b">
        <v>0</v>
      </c>
      <c r="G941" s="80" t="b">
        <v>0</v>
      </c>
    </row>
    <row r="942" spans="1:7" ht="15">
      <c r="A942" s="81" t="s">
        <v>3145</v>
      </c>
      <c r="B942" s="80">
        <v>2</v>
      </c>
      <c r="C942" s="104">
        <v>0.00040173028372176515</v>
      </c>
      <c r="D942" s="80" t="s">
        <v>3370</v>
      </c>
      <c r="E942" s="80" t="b">
        <v>0</v>
      </c>
      <c r="F942" s="80" t="b">
        <v>0</v>
      </c>
      <c r="G942" s="80" t="b">
        <v>0</v>
      </c>
    </row>
    <row r="943" spans="1:7" ht="15">
      <c r="A943" s="81" t="s">
        <v>3146</v>
      </c>
      <c r="B943" s="80">
        <v>2</v>
      </c>
      <c r="C943" s="104">
        <v>0.00040173028372176515</v>
      </c>
      <c r="D943" s="80" t="s">
        <v>3370</v>
      </c>
      <c r="E943" s="80" t="b">
        <v>0</v>
      </c>
      <c r="F943" s="80" t="b">
        <v>0</v>
      </c>
      <c r="G943" s="80" t="b">
        <v>0</v>
      </c>
    </row>
    <row r="944" spans="1:7" ht="15">
      <c r="A944" s="81" t="s">
        <v>3147</v>
      </c>
      <c r="B944" s="80">
        <v>2</v>
      </c>
      <c r="C944" s="104">
        <v>0.00040173028372176515</v>
      </c>
      <c r="D944" s="80" t="s">
        <v>3370</v>
      </c>
      <c r="E944" s="80" t="b">
        <v>0</v>
      </c>
      <c r="F944" s="80" t="b">
        <v>0</v>
      </c>
      <c r="G944" s="80" t="b">
        <v>0</v>
      </c>
    </row>
    <row r="945" spans="1:7" ht="15">
      <c r="A945" s="81" t="s">
        <v>3148</v>
      </c>
      <c r="B945" s="80">
        <v>2</v>
      </c>
      <c r="C945" s="104">
        <v>0.00040173028372176515</v>
      </c>
      <c r="D945" s="80" t="s">
        <v>3370</v>
      </c>
      <c r="E945" s="80" t="b">
        <v>0</v>
      </c>
      <c r="F945" s="80" t="b">
        <v>0</v>
      </c>
      <c r="G945" s="80" t="b">
        <v>0</v>
      </c>
    </row>
    <row r="946" spans="1:7" ht="15">
      <c r="A946" s="81" t="s">
        <v>3149</v>
      </c>
      <c r="B946" s="80">
        <v>2</v>
      </c>
      <c r="C946" s="104">
        <v>0.00040173028372176515</v>
      </c>
      <c r="D946" s="80" t="s">
        <v>3370</v>
      </c>
      <c r="E946" s="80" t="b">
        <v>0</v>
      </c>
      <c r="F946" s="80" t="b">
        <v>0</v>
      </c>
      <c r="G946" s="80" t="b">
        <v>0</v>
      </c>
    </row>
    <row r="947" spans="1:7" ht="15">
      <c r="A947" s="81" t="s">
        <v>3150</v>
      </c>
      <c r="B947" s="80">
        <v>2</v>
      </c>
      <c r="C947" s="104">
        <v>0.00040173028372176515</v>
      </c>
      <c r="D947" s="80" t="s">
        <v>3370</v>
      </c>
      <c r="E947" s="80" t="b">
        <v>0</v>
      </c>
      <c r="F947" s="80" t="b">
        <v>0</v>
      </c>
      <c r="G947" s="80" t="b">
        <v>0</v>
      </c>
    </row>
    <row r="948" spans="1:7" ht="15">
      <c r="A948" s="81" t="s">
        <v>3151</v>
      </c>
      <c r="B948" s="80">
        <v>2</v>
      </c>
      <c r="C948" s="104">
        <v>0.00040173028372176515</v>
      </c>
      <c r="D948" s="80" t="s">
        <v>3370</v>
      </c>
      <c r="E948" s="80" t="b">
        <v>0</v>
      </c>
      <c r="F948" s="80" t="b">
        <v>0</v>
      </c>
      <c r="G948" s="80" t="b">
        <v>0</v>
      </c>
    </row>
    <row r="949" spans="1:7" ht="15">
      <c r="A949" s="81" t="s">
        <v>3152</v>
      </c>
      <c r="B949" s="80">
        <v>2</v>
      </c>
      <c r="C949" s="104">
        <v>0.00040173028372176515</v>
      </c>
      <c r="D949" s="80" t="s">
        <v>3370</v>
      </c>
      <c r="E949" s="80" t="b">
        <v>0</v>
      </c>
      <c r="F949" s="80" t="b">
        <v>0</v>
      </c>
      <c r="G949" s="80" t="b">
        <v>0</v>
      </c>
    </row>
    <row r="950" spans="1:7" ht="15">
      <c r="A950" s="81" t="s">
        <v>3153</v>
      </c>
      <c r="B950" s="80">
        <v>2</v>
      </c>
      <c r="C950" s="104">
        <v>0.00040173028372176515</v>
      </c>
      <c r="D950" s="80" t="s">
        <v>3370</v>
      </c>
      <c r="E950" s="80" t="b">
        <v>0</v>
      </c>
      <c r="F950" s="80" t="b">
        <v>0</v>
      </c>
      <c r="G950" s="80" t="b">
        <v>0</v>
      </c>
    </row>
    <row r="951" spans="1:7" ht="15">
      <c r="A951" s="81" t="s">
        <v>3154</v>
      </c>
      <c r="B951" s="80">
        <v>2</v>
      </c>
      <c r="C951" s="104">
        <v>0.00040173028372176515</v>
      </c>
      <c r="D951" s="80" t="s">
        <v>3370</v>
      </c>
      <c r="E951" s="80" t="b">
        <v>0</v>
      </c>
      <c r="F951" s="80" t="b">
        <v>0</v>
      </c>
      <c r="G951" s="80" t="b">
        <v>0</v>
      </c>
    </row>
    <row r="952" spans="1:7" ht="15">
      <c r="A952" s="81" t="s">
        <v>3155</v>
      </c>
      <c r="B952" s="80">
        <v>2</v>
      </c>
      <c r="C952" s="104">
        <v>0.00040173028372176515</v>
      </c>
      <c r="D952" s="80" t="s">
        <v>3370</v>
      </c>
      <c r="E952" s="80" t="b">
        <v>0</v>
      </c>
      <c r="F952" s="80" t="b">
        <v>0</v>
      </c>
      <c r="G952" s="80" t="b">
        <v>0</v>
      </c>
    </row>
    <row r="953" spans="1:7" ht="15">
      <c r="A953" s="81" t="s">
        <v>3156</v>
      </c>
      <c r="B953" s="80">
        <v>2</v>
      </c>
      <c r="C953" s="104">
        <v>0.00040173028372176515</v>
      </c>
      <c r="D953" s="80" t="s">
        <v>3370</v>
      </c>
      <c r="E953" s="80" t="b">
        <v>0</v>
      </c>
      <c r="F953" s="80" t="b">
        <v>0</v>
      </c>
      <c r="G953" s="80" t="b">
        <v>0</v>
      </c>
    </row>
    <row r="954" spans="1:7" ht="15">
      <c r="A954" s="81" t="s">
        <v>3157</v>
      </c>
      <c r="B954" s="80">
        <v>2</v>
      </c>
      <c r="C954" s="104">
        <v>0.00040173028372176515</v>
      </c>
      <c r="D954" s="80" t="s">
        <v>3370</v>
      </c>
      <c r="E954" s="80" t="b">
        <v>0</v>
      </c>
      <c r="F954" s="80" t="b">
        <v>0</v>
      </c>
      <c r="G954" s="80" t="b">
        <v>0</v>
      </c>
    </row>
    <row r="955" spans="1:7" ht="15">
      <c r="A955" s="81" t="s">
        <v>3158</v>
      </c>
      <c r="B955" s="80">
        <v>2</v>
      </c>
      <c r="C955" s="104">
        <v>0.00040173028372176515</v>
      </c>
      <c r="D955" s="80" t="s">
        <v>3370</v>
      </c>
      <c r="E955" s="80" t="b">
        <v>0</v>
      </c>
      <c r="F955" s="80" t="b">
        <v>0</v>
      </c>
      <c r="G955" s="80" t="b">
        <v>0</v>
      </c>
    </row>
    <row r="956" spans="1:7" ht="15">
      <c r="A956" s="81" t="s">
        <v>3159</v>
      </c>
      <c r="B956" s="80">
        <v>2</v>
      </c>
      <c r="C956" s="104">
        <v>0.00047366098758412623</v>
      </c>
      <c r="D956" s="80" t="s">
        <v>3370</v>
      </c>
      <c r="E956" s="80" t="b">
        <v>0</v>
      </c>
      <c r="F956" s="80" t="b">
        <v>0</v>
      </c>
      <c r="G956" s="80" t="b">
        <v>0</v>
      </c>
    </row>
    <row r="957" spans="1:7" ht="15">
      <c r="A957" s="81" t="s">
        <v>3160</v>
      </c>
      <c r="B957" s="80">
        <v>2</v>
      </c>
      <c r="C957" s="104">
        <v>0.00040173028372176515</v>
      </c>
      <c r="D957" s="80" t="s">
        <v>3370</v>
      </c>
      <c r="E957" s="80" t="b">
        <v>0</v>
      </c>
      <c r="F957" s="80" t="b">
        <v>0</v>
      </c>
      <c r="G957" s="80" t="b">
        <v>0</v>
      </c>
    </row>
    <row r="958" spans="1:7" ht="15">
      <c r="A958" s="81" t="s">
        <v>3161</v>
      </c>
      <c r="B958" s="80">
        <v>2</v>
      </c>
      <c r="C958" s="104">
        <v>0.00040173028372176515</v>
      </c>
      <c r="D958" s="80" t="s">
        <v>3370</v>
      </c>
      <c r="E958" s="80" t="b">
        <v>1</v>
      </c>
      <c r="F958" s="80" t="b">
        <v>0</v>
      </c>
      <c r="G958" s="80" t="b">
        <v>0</v>
      </c>
    </row>
    <row r="959" spans="1:7" ht="15">
      <c r="A959" s="81" t="s">
        <v>3162</v>
      </c>
      <c r="B959" s="80">
        <v>2</v>
      </c>
      <c r="C959" s="104">
        <v>0.00040173028372176515</v>
      </c>
      <c r="D959" s="80" t="s">
        <v>3370</v>
      </c>
      <c r="E959" s="80" t="b">
        <v>0</v>
      </c>
      <c r="F959" s="80" t="b">
        <v>0</v>
      </c>
      <c r="G959" s="80" t="b">
        <v>0</v>
      </c>
    </row>
    <row r="960" spans="1:7" ht="15">
      <c r="A960" s="81" t="s">
        <v>3163</v>
      </c>
      <c r="B960" s="80">
        <v>2</v>
      </c>
      <c r="C960" s="104">
        <v>0.00040173028372176515</v>
      </c>
      <c r="D960" s="80" t="s">
        <v>3370</v>
      </c>
      <c r="E960" s="80" t="b">
        <v>0</v>
      </c>
      <c r="F960" s="80" t="b">
        <v>0</v>
      </c>
      <c r="G960" s="80" t="b">
        <v>0</v>
      </c>
    </row>
    <row r="961" spans="1:7" ht="15">
      <c r="A961" s="81" t="s">
        <v>3164</v>
      </c>
      <c r="B961" s="80">
        <v>2</v>
      </c>
      <c r="C961" s="104">
        <v>0.00040173028372176515</v>
      </c>
      <c r="D961" s="80" t="s">
        <v>3370</v>
      </c>
      <c r="E961" s="80" t="b">
        <v>0</v>
      </c>
      <c r="F961" s="80" t="b">
        <v>0</v>
      </c>
      <c r="G961" s="80" t="b">
        <v>0</v>
      </c>
    </row>
    <row r="962" spans="1:7" ht="15">
      <c r="A962" s="81" t="s">
        <v>3165</v>
      </c>
      <c r="B962" s="80">
        <v>2</v>
      </c>
      <c r="C962" s="104">
        <v>0.00040173028372176515</v>
      </c>
      <c r="D962" s="80" t="s">
        <v>3370</v>
      </c>
      <c r="E962" s="80" t="b">
        <v>0</v>
      </c>
      <c r="F962" s="80" t="b">
        <v>0</v>
      </c>
      <c r="G962" s="80" t="b">
        <v>0</v>
      </c>
    </row>
    <row r="963" spans="1:7" ht="15">
      <c r="A963" s="81" t="s">
        <v>3166</v>
      </c>
      <c r="B963" s="80">
        <v>2</v>
      </c>
      <c r="C963" s="104">
        <v>0.00040173028372176515</v>
      </c>
      <c r="D963" s="80" t="s">
        <v>3370</v>
      </c>
      <c r="E963" s="80" t="b">
        <v>0</v>
      </c>
      <c r="F963" s="80" t="b">
        <v>0</v>
      </c>
      <c r="G963" s="80" t="b">
        <v>0</v>
      </c>
    </row>
    <row r="964" spans="1:7" ht="15">
      <c r="A964" s="81" t="s">
        <v>3167</v>
      </c>
      <c r="B964" s="80">
        <v>2</v>
      </c>
      <c r="C964" s="104">
        <v>0.00040173028372176515</v>
      </c>
      <c r="D964" s="80" t="s">
        <v>3370</v>
      </c>
      <c r="E964" s="80" t="b">
        <v>0</v>
      </c>
      <c r="F964" s="80" t="b">
        <v>0</v>
      </c>
      <c r="G964" s="80" t="b">
        <v>0</v>
      </c>
    </row>
    <row r="965" spans="1:7" ht="15">
      <c r="A965" s="81" t="s">
        <v>3168</v>
      </c>
      <c r="B965" s="80">
        <v>2</v>
      </c>
      <c r="C965" s="104">
        <v>0.00040173028372176515</v>
      </c>
      <c r="D965" s="80" t="s">
        <v>3370</v>
      </c>
      <c r="E965" s="80" t="b">
        <v>0</v>
      </c>
      <c r="F965" s="80" t="b">
        <v>0</v>
      </c>
      <c r="G965" s="80" t="b">
        <v>0</v>
      </c>
    </row>
    <row r="966" spans="1:7" ht="15">
      <c r="A966" s="81" t="s">
        <v>3169</v>
      </c>
      <c r="B966" s="80">
        <v>2</v>
      </c>
      <c r="C966" s="104">
        <v>0.00040173028372176515</v>
      </c>
      <c r="D966" s="80" t="s">
        <v>3370</v>
      </c>
      <c r="E966" s="80" t="b">
        <v>0</v>
      </c>
      <c r="F966" s="80" t="b">
        <v>0</v>
      </c>
      <c r="G966" s="80" t="b">
        <v>0</v>
      </c>
    </row>
    <row r="967" spans="1:7" ht="15">
      <c r="A967" s="81" t="s">
        <v>3170</v>
      </c>
      <c r="B967" s="80">
        <v>2</v>
      </c>
      <c r="C967" s="104">
        <v>0.00047366098758412623</v>
      </c>
      <c r="D967" s="80" t="s">
        <v>3370</v>
      </c>
      <c r="E967" s="80" t="b">
        <v>0</v>
      </c>
      <c r="F967" s="80" t="b">
        <v>0</v>
      </c>
      <c r="G967" s="80" t="b">
        <v>0</v>
      </c>
    </row>
    <row r="968" spans="1:7" ht="15">
      <c r="A968" s="81" t="s">
        <v>3171</v>
      </c>
      <c r="B968" s="80">
        <v>2</v>
      </c>
      <c r="C968" s="104">
        <v>0.00040173028372176515</v>
      </c>
      <c r="D968" s="80" t="s">
        <v>3370</v>
      </c>
      <c r="E968" s="80" t="b">
        <v>0</v>
      </c>
      <c r="F968" s="80" t="b">
        <v>0</v>
      </c>
      <c r="G968" s="80" t="b">
        <v>0</v>
      </c>
    </row>
    <row r="969" spans="1:7" ht="15">
      <c r="A969" s="81" t="s">
        <v>3172</v>
      </c>
      <c r="B969" s="80">
        <v>2</v>
      </c>
      <c r="C969" s="104">
        <v>0.00040173028372176515</v>
      </c>
      <c r="D969" s="80" t="s">
        <v>3370</v>
      </c>
      <c r="E969" s="80" t="b">
        <v>0</v>
      </c>
      <c r="F969" s="80" t="b">
        <v>0</v>
      </c>
      <c r="G969" s="80" t="b">
        <v>0</v>
      </c>
    </row>
    <row r="970" spans="1:7" ht="15">
      <c r="A970" s="81" t="s">
        <v>3173</v>
      </c>
      <c r="B970" s="80">
        <v>2</v>
      </c>
      <c r="C970" s="104">
        <v>0.00040173028372176515</v>
      </c>
      <c r="D970" s="80" t="s">
        <v>3370</v>
      </c>
      <c r="E970" s="80" t="b">
        <v>0</v>
      </c>
      <c r="F970" s="80" t="b">
        <v>0</v>
      </c>
      <c r="G970" s="80" t="b">
        <v>0</v>
      </c>
    </row>
    <row r="971" spans="1:7" ht="15">
      <c r="A971" s="81" t="s">
        <v>3174</v>
      </c>
      <c r="B971" s="80">
        <v>2</v>
      </c>
      <c r="C971" s="104">
        <v>0.00047366098758412623</v>
      </c>
      <c r="D971" s="80" t="s">
        <v>3370</v>
      </c>
      <c r="E971" s="80" t="b">
        <v>0</v>
      </c>
      <c r="F971" s="80" t="b">
        <v>0</v>
      </c>
      <c r="G971" s="80" t="b">
        <v>0</v>
      </c>
    </row>
    <row r="972" spans="1:7" ht="15">
      <c r="A972" s="81" t="s">
        <v>3175</v>
      </c>
      <c r="B972" s="80">
        <v>2</v>
      </c>
      <c r="C972" s="104">
        <v>0.00040173028372176515</v>
      </c>
      <c r="D972" s="80" t="s">
        <v>3370</v>
      </c>
      <c r="E972" s="80" t="b">
        <v>1</v>
      </c>
      <c r="F972" s="80" t="b">
        <v>0</v>
      </c>
      <c r="G972" s="80" t="b">
        <v>0</v>
      </c>
    </row>
    <row r="973" spans="1:7" ht="15">
      <c r="A973" s="81" t="s">
        <v>3176</v>
      </c>
      <c r="B973" s="80">
        <v>2</v>
      </c>
      <c r="C973" s="104">
        <v>0.00040173028372176515</v>
      </c>
      <c r="D973" s="80" t="s">
        <v>3370</v>
      </c>
      <c r="E973" s="80" t="b">
        <v>0</v>
      </c>
      <c r="F973" s="80" t="b">
        <v>0</v>
      </c>
      <c r="G973" s="80" t="b">
        <v>0</v>
      </c>
    </row>
    <row r="974" spans="1:7" ht="15">
      <c r="A974" s="81" t="s">
        <v>3177</v>
      </c>
      <c r="B974" s="80">
        <v>2</v>
      </c>
      <c r="C974" s="104">
        <v>0.00047366098758412623</v>
      </c>
      <c r="D974" s="80" t="s">
        <v>3370</v>
      </c>
      <c r="E974" s="80" t="b">
        <v>0</v>
      </c>
      <c r="F974" s="80" t="b">
        <v>0</v>
      </c>
      <c r="G974" s="80" t="b">
        <v>0</v>
      </c>
    </row>
    <row r="975" spans="1:7" ht="15">
      <c r="A975" s="81" t="s">
        <v>3178</v>
      </c>
      <c r="B975" s="80">
        <v>2</v>
      </c>
      <c r="C975" s="104">
        <v>0.00040173028372176515</v>
      </c>
      <c r="D975" s="80" t="s">
        <v>3370</v>
      </c>
      <c r="E975" s="80" t="b">
        <v>0</v>
      </c>
      <c r="F975" s="80" t="b">
        <v>0</v>
      </c>
      <c r="G975" s="80" t="b">
        <v>0</v>
      </c>
    </row>
    <row r="976" spans="1:7" ht="15">
      <c r="A976" s="81" t="s">
        <v>3179</v>
      </c>
      <c r="B976" s="80">
        <v>2</v>
      </c>
      <c r="C976" s="104">
        <v>0.00047366098758412623</v>
      </c>
      <c r="D976" s="80" t="s">
        <v>3370</v>
      </c>
      <c r="E976" s="80" t="b">
        <v>0</v>
      </c>
      <c r="F976" s="80" t="b">
        <v>0</v>
      </c>
      <c r="G976" s="80" t="b">
        <v>0</v>
      </c>
    </row>
    <row r="977" spans="1:7" ht="15">
      <c r="A977" s="81" t="s">
        <v>3180</v>
      </c>
      <c r="B977" s="80">
        <v>2</v>
      </c>
      <c r="C977" s="104">
        <v>0.00047366098758412623</v>
      </c>
      <c r="D977" s="80" t="s">
        <v>3370</v>
      </c>
      <c r="E977" s="80" t="b">
        <v>0</v>
      </c>
      <c r="F977" s="80" t="b">
        <v>0</v>
      </c>
      <c r="G977" s="80" t="b">
        <v>0</v>
      </c>
    </row>
    <row r="978" spans="1:7" ht="15">
      <c r="A978" s="81" t="s">
        <v>3181</v>
      </c>
      <c r="B978" s="80">
        <v>2</v>
      </c>
      <c r="C978" s="104">
        <v>0.00040173028372176515</v>
      </c>
      <c r="D978" s="80" t="s">
        <v>3370</v>
      </c>
      <c r="E978" s="80" t="b">
        <v>0</v>
      </c>
      <c r="F978" s="80" t="b">
        <v>0</v>
      </c>
      <c r="G978" s="80" t="b">
        <v>0</v>
      </c>
    </row>
    <row r="979" spans="1:7" ht="15">
      <c r="A979" s="81" t="s">
        <v>3182</v>
      </c>
      <c r="B979" s="80">
        <v>2</v>
      </c>
      <c r="C979" s="104">
        <v>0.00040173028372176515</v>
      </c>
      <c r="D979" s="80" t="s">
        <v>3370</v>
      </c>
      <c r="E979" s="80" t="b">
        <v>0</v>
      </c>
      <c r="F979" s="80" t="b">
        <v>0</v>
      </c>
      <c r="G979" s="80" t="b">
        <v>0</v>
      </c>
    </row>
    <row r="980" spans="1:7" ht="15">
      <c r="A980" s="81" t="s">
        <v>3183</v>
      </c>
      <c r="B980" s="80">
        <v>2</v>
      </c>
      <c r="C980" s="104">
        <v>0.00040173028372176515</v>
      </c>
      <c r="D980" s="80" t="s">
        <v>3370</v>
      </c>
      <c r="E980" s="80" t="b">
        <v>0</v>
      </c>
      <c r="F980" s="80" t="b">
        <v>0</v>
      </c>
      <c r="G980" s="80" t="b">
        <v>0</v>
      </c>
    </row>
    <row r="981" spans="1:7" ht="15">
      <c r="A981" s="81" t="s">
        <v>3184</v>
      </c>
      <c r="B981" s="80">
        <v>2</v>
      </c>
      <c r="C981" s="104">
        <v>0.00047366098758412623</v>
      </c>
      <c r="D981" s="80" t="s">
        <v>3370</v>
      </c>
      <c r="E981" s="80" t="b">
        <v>0</v>
      </c>
      <c r="F981" s="80" t="b">
        <v>0</v>
      </c>
      <c r="G981" s="80" t="b">
        <v>0</v>
      </c>
    </row>
    <row r="982" spans="1:7" ht="15">
      <c r="A982" s="81" t="s">
        <v>3185</v>
      </c>
      <c r="B982" s="80">
        <v>2</v>
      </c>
      <c r="C982" s="104">
        <v>0.00047366098758412623</v>
      </c>
      <c r="D982" s="80" t="s">
        <v>3370</v>
      </c>
      <c r="E982" s="80" t="b">
        <v>0</v>
      </c>
      <c r="F982" s="80" t="b">
        <v>0</v>
      </c>
      <c r="G982" s="80" t="b">
        <v>0</v>
      </c>
    </row>
    <row r="983" spans="1:7" ht="15">
      <c r="A983" s="81" t="s">
        <v>3186</v>
      </c>
      <c r="B983" s="80">
        <v>2</v>
      </c>
      <c r="C983" s="104">
        <v>0.00047366098758412623</v>
      </c>
      <c r="D983" s="80" t="s">
        <v>3370</v>
      </c>
      <c r="E983" s="80" t="b">
        <v>0</v>
      </c>
      <c r="F983" s="80" t="b">
        <v>0</v>
      </c>
      <c r="G983" s="80" t="b">
        <v>0</v>
      </c>
    </row>
    <row r="984" spans="1:7" ht="15">
      <c r="A984" s="81" t="s">
        <v>3187</v>
      </c>
      <c r="B984" s="80">
        <v>2</v>
      </c>
      <c r="C984" s="104">
        <v>0.00040173028372176515</v>
      </c>
      <c r="D984" s="80" t="s">
        <v>3370</v>
      </c>
      <c r="E984" s="80" t="b">
        <v>0</v>
      </c>
      <c r="F984" s="80" t="b">
        <v>0</v>
      </c>
      <c r="G984" s="80" t="b">
        <v>0</v>
      </c>
    </row>
    <row r="985" spans="1:7" ht="15">
      <c r="A985" s="81" t="s">
        <v>3188</v>
      </c>
      <c r="B985" s="80">
        <v>2</v>
      </c>
      <c r="C985" s="104">
        <v>0.00040173028372176515</v>
      </c>
      <c r="D985" s="80" t="s">
        <v>3370</v>
      </c>
      <c r="E985" s="80" t="b">
        <v>0</v>
      </c>
      <c r="F985" s="80" t="b">
        <v>0</v>
      </c>
      <c r="G985" s="80" t="b">
        <v>0</v>
      </c>
    </row>
    <row r="986" spans="1:7" ht="15">
      <c r="A986" s="81" t="s">
        <v>3189</v>
      </c>
      <c r="B986" s="80">
        <v>2</v>
      </c>
      <c r="C986" s="104">
        <v>0.00040173028372176515</v>
      </c>
      <c r="D986" s="80" t="s">
        <v>3370</v>
      </c>
      <c r="E986" s="80" t="b">
        <v>0</v>
      </c>
      <c r="F986" s="80" t="b">
        <v>0</v>
      </c>
      <c r="G986" s="80" t="b">
        <v>0</v>
      </c>
    </row>
    <row r="987" spans="1:7" ht="15">
      <c r="A987" s="81" t="s">
        <v>3190</v>
      </c>
      <c r="B987" s="80">
        <v>2</v>
      </c>
      <c r="C987" s="104">
        <v>0.00040173028372176515</v>
      </c>
      <c r="D987" s="80" t="s">
        <v>3370</v>
      </c>
      <c r="E987" s="80" t="b">
        <v>0</v>
      </c>
      <c r="F987" s="80" t="b">
        <v>0</v>
      </c>
      <c r="G987" s="80" t="b">
        <v>0</v>
      </c>
    </row>
    <row r="988" spans="1:7" ht="15">
      <c r="A988" s="81" t="s">
        <v>3191</v>
      </c>
      <c r="B988" s="80">
        <v>2</v>
      </c>
      <c r="C988" s="104">
        <v>0.00040173028372176515</v>
      </c>
      <c r="D988" s="80" t="s">
        <v>3370</v>
      </c>
      <c r="E988" s="80" t="b">
        <v>1</v>
      </c>
      <c r="F988" s="80" t="b">
        <v>0</v>
      </c>
      <c r="G988" s="80" t="b">
        <v>0</v>
      </c>
    </row>
    <row r="989" spans="1:7" ht="15">
      <c r="A989" s="81" t="s">
        <v>3192</v>
      </c>
      <c r="B989" s="80">
        <v>2</v>
      </c>
      <c r="C989" s="104">
        <v>0.00047366098758412623</v>
      </c>
      <c r="D989" s="80" t="s">
        <v>3370</v>
      </c>
      <c r="E989" s="80" t="b">
        <v>0</v>
      </c>
      <c r="F989" s="80" t="b">
        <v>0</v>
      </c>
      <c r="G989" s="80" t="b">
        <v>0</v>
      </c>
    </row>
    <row r="990" spans="1:7" ht="15">
      <c r="A990" s="81" t="s">
        <v>3193</v>
      </c>
      <c r="B990" s="80">
        <v>2</v>
      </c>
      <c r="C990" s="104">
        <v>0.00040173028372176515</v>
      </c>
      <c r="D990" s="80" t="s">
        <v>3370</v>
      </c>
      <c r="E990" s="80" t="b">
        <v>0</v>
      </c>
      <c r="F990" s="80" t="b">
        <v>0</v>
      </c>
      <c r="G990" s="80" t="b">
        <v>0</v>
      </c>
    </row>
    <row r="991" spans="1:7" ht="15">
      <c r="A991" s="81" t="s">
        <v>3194</v>
      </c>
      <c r="B991" s="80">
        <v>2</v>
      </c>
      <c r="C991" s="104">
        <v>0.00040173028372176515</v>
      </c>
      <c r="D991" s="80" t="s">
        <v>3370</v>
      </c>
      <c r="E991" s="80" t="b">
        <v>1</v>
      </c>
      <c r="F991" s="80" t="b">
        <v>0</v>
      </c>
      <c r="G991" s="80" t="b">
        <v>0</v>
      </c>
    </row>
    <row r="992" spans="1:7" ht="15">
      <c r="A992" s="81" t="s">
        <v>3195</v>
      </c>
      <c r="B992" s="80">
        <v>2</v>
      </c>
      <c r="C992" s="104">
        <v>0.00047366098758412623</v>
      </c>
      <c r="D992" s="80" t="s">
        <v>3370</v>
      </c>
      <c r="E992" s="80" t="b">
        <v>0</v>
      </c>
      <c r="F992" s="80" t="b">
        <v>0</v>
      </c>
      <c r="G992" s="80" t="b">
        <v>0</v>
      </c>
    </row>
    <row r="993" spans="1:7" ht="15">
      <c r="A993" s="81" t="s">
        <v>3196</v>
      </c>
      <c r="B993" s="80">
        <v>2</v>
      </c>
      <c r="C993" s="104">
        <v>0.00040173028372176515</v>
      </c>
      <c r="D993" s="80" t="s">
        <v>3370</v>
      </c>
      <c r="E993" s="80" t="b">
        <v>0</v>
      </c>
      <c r="F993" s="80" t="b">
        <v>0</v>
      </c>
      <c r="G993" s="80" t="b">
        <v>0</v>
      </c>
    </row>
    <row r="994" spans="1:7" ht="15">
      <c r="A994" s="81" t="s">
        <v>3197</v>
      </c>
      <c r="B994" s="80">
        <v>2</v>
      </c>
      <c r="C994" s="104">
        <v>0.00040173028372176515</v>
      </c>
      <c r="D994" s="80" t="s">
        <v>3370</v>
      </c>
      <c r="E994" s="80" t="b">
        <v>0</v>
      </c>
      <c r="F994" s="80" t="b">
        <v>0</v>
      </c>
      <c r="G994" s="80" t="b">
        <v>0</v>
      </c>
    </row>
    <row r="995" spans="1:7" ht="15">
      <c r="A995" s="81" t="s">
        <v>3198</v>
      </c>
      <c r="B995" s="80">
        <v>2</v>
      </c>
      <c r="C995" s="104">
        <v>0.00040173028372176515</v>
      </c>
      <c r="D995" s="80" t="s">
        <v>3370</v>
      </c>
      <c r="E995" s="80" t="b">
        <v>0</v>
      </c>
      <c r="F995" s="80" t="b">
        <v>0</v>
      </c>
      <c r="G995" s="80" t="b">
        <v>0</v>
      </c>
    </row>
    <row r="996" spans="1:7" ht="15">
      <c r="A996" s="81" t="s">
        <v>3199</v>
      </c>
      <c r="B996" s="80">
        <v>2</v>
      </c>
      <c r="C996" s="104">
        <v>0.00047366098758412623</v>
      </c>
      <c r="D996" s="80" t="s">
        <v>3370</v>
      </c>
      <c r="E996" s="80" t="b">
        <v>0</v>
      </c>
      <c r="F996" s="80" t="b">
        <v>0</v>
      </c>
      <c r="G996" s="80" t="b">
        <v>0</v>
      </c>
    </row>
    <row r="997" spans="1:7" ht="15">
      <c r="A997" s="81" t="s">
        <v>3200</v>
      </c>
      <c r="B997" s="80">
        <v>2</v>
      </c>
      <c r="C997" s="104">
        <v>0.00040173028372176515</v>
      </c>
      <c r="D997" s="80" t="s">
        <v>3370</v>
      </c>
      <c r="E997" s="80" t="b">
        <v>0</v>
      </c>
      <c r="F997" s="80" t="b">
        <v>0</v>
      </c>
      <c r="G997" s="80" t="b">
        <v>0</v>
      </c>
    </row>
    <row r="998" spans="1:7" ht="15">
      <c r="A998" s="81" t="s">
        <v>3201</v>
      </c>
      <c r="B998" s="80">
        <v>2</v>
      </c>
      <c r="C998" s="104">
        <v>0.00047366098758412623</v>
      </c>
      <c r="D998" s="80" t="s">
        <v>3370</v>
      </c>
      <c r="E998" s="80" t="b">
        <v>0</v>
      </c>
      <c r="F998" s="80" t="b">
        <v>0</v>
      </c>
      <c r="G998" s="80" t="b">
        <v>0</v>
      </c>
    </row>
    <row r="999" spans="1:7" ht="15">
      <c r="A999" s="81" t="s">
        <v>3202</v>
      </c>
      <c r="B999" s="80">
        <v>2</v>
      </c>
      <c r="C999" s="104">
        <v>0.00047366098758412623</v>
      </c>
      <c r="D999" s="80" t="s">
        <v>3370</v>
      </c>
      <c r="E999" s="80" t="b">
        <v>1</v>
      </c>
      <c r="F999" s="80" t="b">
        <v>0</v>
      </c>
      <c r="G999" s="80" t="b">
        <v>0</v>
      </c>
    </row>
    <row r="1000" spans="1:7" ht="15">
      <c r="A1000" s="81" t="s">
        <v>3203</v>
      </c>
      <c r="B1000" s="80">
        <v>2</v>
      </c>
      <c r="C1000" s="104">
        <v>0.00047366098758412623</v>
      </c>
      <c r="D1000" s="80" t="s">
        <v>3370</v>
      </c>
      <c r="E1000" s="80" t="b">
        <v>0</v>
      </c>
      <c r="F1000" s="80" t="b">
        <v>0</v>
      </c>
      <c r="G1000" s="80" t="b">
        <v>0</v>
      </c>
    </row>
    <row r="1001" spans="1:7" ht="15">
      <c r="A1001" s="81" t="s">
        <v>3204</v>
      </c>
      <c r="B1001" s="80">
        <v>2</v>
      </c>
      <c r="C1001" s="104">
        <v>0.00040173028372176515</v>
      </c>
      <c r="D1001" s="80" t="s">
        <v>3370</v>
      </c>
      <c r="E1001" s="80" t="b">
        <v>0</v>
      </c>
      <c r="F1001" s="80" t="b">
        <v>0</v>
      </c>
      <c r="G1001" s="80" t="b">
        <v>0</v>
      </c>
    </row>
    <row r="1002" spans="1:7" ht="15">
      <c r="A1002" s="81" t="s">
        <v>3205</v>
      </c>
      <c r="B1002" s="80">
        <v>2</v>
      </c>
      <c r="C1002" s="104">
        <v>0.00040173028372176515</v>
      </c>
      <c r="D1002" s="80" t="s">
        <v>3370</v>
      </c>
      <c r="E1002" s="80" t="b">
        <v>0</v>
      </c>
      <c r="F1002" s="80" t="b">
        <v>0</v>
      </c>
      <c r="G1002" s="80" t="b">
        <v>0</v>
      </c>
    </row>
    <row r="1003" spans="1:7" ht="15">
      <c r="A1003" s="81" t="s">
        <v>3206</v>
      </c>
      <c r="B1003" s="80">
        <v>2</v>
      </c>
      <c r="C1003" s="104">
        <v>0.00040173028372176515</v>
      </c>
      <c r="D1003" s="80" t="s">
        <v>3370</v>
      </c>
      <c r="E1003" s="80" t="b">
        <v>1</v>
      </c>
      <c r="F1003" s="80" t="b">
        <v>0</v>
      </c>
      <c r="G1003" s="80" t="b">
        <v>0</v>
      </c>
    </row>
    <row r="1004" spans="1:7" ht="15">
      <c r="A1004" s="81" t="s">
        <v>3207</v>
      </c>
      <c r="B1004" s="80">
        <v>2</v>
      </c>
      <c r="C1004" s="104">
        <v>0.00040173028372176515</v>
      </c>
      <c r="D1004" s="80" t="s">
        <v>3370</v>
      </c>
      <c r="E1004" s="80" t="b">
        <v>0</v>
      </c>
      <c r="F1004" s="80" t="b">
        <v>0</v>
      </c>
      <c r="G1004" s="80" t="b">
        <v>0</v>
      </c>
    </row>
    <row r="1005" spans="1:7" ht="15">
      <c r="A1005" s="81" t="s">
        <v>3208</v>
      </c>
      <c r="B1005" s="80">
        <v>2</v>
      </c>
      <c r="C1005" s="104">
        <v>0.00040173028372176515</v>
      </c>
      <c r="D1005" s="80" t="s">
        <v>3370</v>
      </c>
      <c r="E1005" s="80" t="b">
        <v>0</v>
      </c>
      <c r="F1005" s="80" t="b">
        <v>0</v>
      </c>
      <c r="G1005" s="80" t="b">
        <v>0</v>
      </c>
    </row>
    <row r="1006" spans="1:7" ht="15">
      <c r="A1006" s="81" t="s">
        <v>3209</v>
      </c>
      <c r="B1006" s="80">
        <v>2</v>
      </c>
      <c r="C1006" s="104">
        <v>0.00040173028372176515</v>
      </c>
      <c r="D1006" s="80" t="s">
        <v>3370</v>
      </c>
      <c r="E1006" s="80" t="b">
        <v>0</v>
      </c>
      <c r="F1006" s="80" t="b">
        <v>0</v>
      </c>
      <c r="G1006" s="80" t="b">
        <v>0</v>
      </c>
    </row>
    <row r="1007" spans="1:7" ht="15">
      <c r="A1007" s="81" t="s">
        <v>3210</v>
      </c>
      <c r="B1007" s="80">
        <v>2</v>
      </c>
      <c r="C1007" s="104">
        <v>0.00040173028372176515</v>
      </c>
      <c r="D1007" s="80" t="s">
        <v>3370</v>
      </c>
      <c r="E1007" s="80" t="b">
        <v>0</v>
      </c>
      <c r="F1007" s="80" t="b">
        <v>0</v>
      </c>
      <c r="G1007" s="80" t="b">
        <v>0</v>
      </c>
    </row>
    <row r="1008" spans="1:7" ht="15">
      <c r="A1008" s="81" t="s">
        <v>3211</v>
      </c>
      <c r="B1008" s="80">
        <v>2</v>
      </c>
      <c r="C1008" s="104">
        <v>0.00040173028372176515</v>
      </c>
      <c r="D1008" s="80" t="s">
        <v>3370</v>
      </c>
      <c r="E1008" s="80" t="b">
        <v>0</v>
      </c>
      <c r="F1008" s="80" t="b">
        <v>0</v>
      </c>
      <c r="G1008" s="80" t="b">
        <v>0</v>
      </c>
    </row>
    <row r="1009" spans="1:7" ht="15">
      <c r="A1009" s="81" t="s">
        <v>3212</v>
      </c>
      <c r="B1009" s="80">
        <v>2</v>
      </c>
      <c r="C1009" s="104">
        <v>0.00040173028372176515</v>
      </c>
      <c r="D1009" s="80" t="s">
        <v>3370</v>
      </c>
      <c r="E1009" s="80" t="b">
        <v>0</v>
      </c>
      <c r="F1009" s="80" t="b">
        <v>0</v>
      </c>
      <c r="G1009" s="80" t="b">
        <v>0</v>
      </c>
    </row>
    <row r="1010" spans="1:7" ht="15">
      <c r="A1010" s="81" t="s">
        <v>3213</v>
      </c>
      <c r="B1010" s="80">
        <v>2</v>
      </c>
      <c r="C1010" s="104">
        <v>0.00040173028372176515</v>
      </c>
      <c r="D1010" s="80" t="s">
        <v>3370</v>
      </c>
      <c r="E1010" s="80" t="b">
        <v>0</v>
      </c>
      <c r="F1010" s="80" t="b">
        <v>0</v>
      </c>
      <c r="G1010" s="80" t="b">
        <v>0</v>
      </c>
    </row>
    <row r="1011" spans="1:7" ht="15">
      <c r="A1011" s="81" t="s">
        <v>3214</v>
      </c>
      <c r="B1011" s="80">
        <v>2</v>
      </c>
      <c r="C1011" s="104">
        <v>0.00047366098758412623</v>
      </c>
      <c r="D1011" s="80" t="s">
        <v>3370</v>
      </c>
      <c r="E1011" s="80" t="b">
        <v>0</v>
      </c>
      <c r="F1011" s="80" t="b">
        <v>0</v>
      </c>
      <c r="G1011" s="80" t="b">
        <v>0</v>
      </c>
    </row>
    <row r="1012" spans="1:7" ht="15">
      <c r="A1012" s="81" t="s">
        <v>3215</v>
      </c>
      <c r="B1012" s="80">
        <v>2</v>
      </c>
      <c r="C1012" s="104">
        <v>0.00040173028372176515</v>
      </c>
      <c r="D1012" s="80" t="s">
        <v>3370</v>
      </c>
      <c r="E1012" s="80" t="b">
        <v>0</v>
      </c>
      <c r="F1012" s="80" t="b">
        <v>0</v>
      </c>
      <c r="G1012" s="80" t="b">
        <v>0</v>
      </c>
    </row>
    <row r="1013" spans="1:7" ht="15">
      <c r="A1013" s="81" t="s">
        <v>3216</v>
      </c>
      <c r="B1013" s="80">
        <v>2</v>
      </c>
      <c r="C1013" s="104">
        <v>0.00040173028372176515</v>
      </c>
      <c r="D1013" s="80" t="s">
        <v>3370</v>
      </c>
      <c r="E1013" s="80" t="b">
        <v>1</v>
      </c>
      <c r="F1013" s="80" t="b">
        <v>0</v>
      </c>
      <c r="G1013" s="80" t="b">
        <v>0</v>
      </c>
    </row>
    <row r="1014" spans="1:7" ht="15">
      <c r="A1014" s="81" t="s">
        <v>3217</v>
      </c>
      <c r="B1014" s="80">
        <v>2</v>
      </c>
      <c r="C1014" s="104">
        <v>0.00040173028372176515</v>
      </c>
      <c r="D1014" s="80" t="s">
        <v>3370</v>
      </c>
      <c r="E1014" s="80" t="b">
        <v>0</v>
      </c>
      <c r="F1014" s="80" t="b">
        <v>0</v>
      </c>
      <c r="G1014" s="80" t="b">
        <v>0</v>
      </c>
    </row>
    <row r="1015" spans="1:7" ht="15">
      <c r="A1015" s="81" t="s">
        <v>3218</v>
      </c>
      <c r="B1015" s="80">
        <v>2</v>
      </c>
      <c r="C1015" s="104">
        <v>0.00040173028372176515</v>
      </c>
      <c r="D1015" s="80" t="s">
        <v>3370</v>
      </c>
      <c r="E1015" s="80" t="b">
        <v>0</v>
      </c>
      <c r="F1015" s="80" t="b">
        <v>0</v>
      </c>
      <c r="G1015" s="80" t="b">
        <v>0</v>
      </c>
    </row>
    <row r="1016" spans="1:7" ht="15">
      <c r="A1016" s="81" t="s">
        <v>3219</v>
      </c>
      <c r="B1016" s="80">
        <v>2</v>
      </c>
      <c r="C1016" s="104">
        <v>0.00040173028372176515</v>
      </c>
      <c r="D1016" s="80" t="s">
        <v>3370</v>
      </c>
      <c r="E1016" s="80" t="b">
        <v>0</v>
      </c>
      <c r="F1016" s="80" t="b">
        <v>0</v>
      </c>
      <c r="G1016" s="80" t="b">
        <v>0</v>
      </c>
    </row>
    <row r="1017" spans="1:7" ht="15">
      <c r="A1017" s="81" t="s">
        <v>3220</v>
      </c>
      <c r="B1017" s="80">
        <v>2</v>
      </c>
      <c r="C1017" s="104">
        <v>0.00040173028372176515</v>
      </c>
      <c r="D1017" s="80" t="s">
        <v>3370</v>
      </c>
      <c r="E1017" s="80" t="b">
        <v>0</v>
      </c>
      <c r="F1017" s="80" t="b">
        <v>0</v>
      </c>
      <c r="G1017" s="80" t="b">
        <v>0</v>
      </c>
    </row>
    <row r="1018" spans="1:7" ht="15">
      <c r="A1018" s="81" t="s">
        <v>3221</v>
      </c>
      <c r="B1018" s="80">
        <v>2</v>
      </c>
      <c r="C1018" s="104">
        <v>0.00047366098758412623</v>
      </c>
      <c r="D1018" s="80" t="s">
        <v>3370</v>
      </c>
      <c r="E1018" s="80" t="b">
        <v>0</v>
      </c>
      <c r="F1018" s="80" t="b">
        <v>0</v>
      </c>
      <c r="G1018" s="80" t="b">
        <v>0</v>
      </c>
    </row>
    <row r="1019" spans="1:7" ht="15">
      <c r="A1019" s="81" t="s">
        <v>3222</v>
      </c>
      <c r="B1019" s="80">
        <v>2</v>
      </c>
      <c r="C1019" s="104">
        <v>0.00047366098758412623</v>
      </c>
      <c r="D1019" s="80" t="s">
        <v>3370</v>
      </c>
      <c r="E1019" s="80" t="b">
        <v>0</v>
      </c>
      <c r="F1019" s="80" t="b">
        <v>0</v>
      </c>
      <c r="G1019" s="80" t="b">
        <v>0</v>
      </c>
    </row>
    <row r="1020" spans="1:7" ht="15">
      <c r="A1020" s="81" t="s">
        <v>3223</v>
      </c>
      <c r="B1020" s="80">
        <v>2</v>
      </c>
      <c r="C1020" s="104">
        <v>0.00040173028372176515</v>
      </c>
      <c r="D1020" s="80" t="s">
        <v>3370</v>
      </c>
      <c r="E1020" s="80" t="b">
        <v>0</v>
      </c>
      <c r="F1020" s="80" t="b">
        <v>0</v>
      </c>
      <c r="G1020" s="80" t="b">
        <v>0</v>
      </c>
    </row>
    <row r="1021" spans="1:7" ht="15">
      <c r="A1021" s="81" t="s">
        <v>3224</v>
      </c>
      <c r="B1021" s="80">
        <v>2</v>
      </c>
      <c r="C1021" s="104">
        <v>0.00040173028372176515</v>
      </c>
      <c r="D1021" s="80" t="s">
        <v>3370</v>
      </c>
      <c r="E1021" s="80" t="b">
        <v>0</v>
      </c>
      <c r="F1021" s="80" t="b">
        <v>0</v>
      </c>
      <c r="G1021" s="80" t="b">
        <v>0</v>
      </c>
    </row>
    <row r="1022" spans="1:7" ht="15">
      <c r="A1022" s="81" t="s">
        <v>3225</v>
      </c>
      <c r="B1022" s="80">
        <v>2</v>
      </c>
      <c r="C1022" s="104">
        <v>0.00040173028372176515</v>
      </c>
      <c r="D1022" s="80" t="s">
        <v>3370</v>
      </c>
      <c r="E1022" s="80" t="b">
        <v>0</v>
      </c>
      <c r="F1022" s="80" t="b">
        <v>0</v>
      </c>
      <c r="G1022" s="80" t="b">
        <v>0</v>
      </c>
    </row>
    <row r="1023" spans="1:7" ht="15">
      <c r="A1023" s="81" t="s">
        <v>3226</v>
      </c>
      <c r="B1023" s="80">
        <v>2</v>
      </c>
      <c r="C1023" s="104">
        <v>0.00040173028372176515</v>
      </c>
      <c r="D1023" s="80" t="s">
        <v>3370</v>
      </c>
      <c r="E1023" s="80" t="b">
        <v>0</v>
      </c>
      <c r="F1023" s="80" t="b">
        <v>0</v>
      </c>
      <c r="G1023" s="80" t="b">
        <v>0</v>
      </c>
    </row>
    <row r="1024" spans="1:7" ht="15">
      <c r="A1024" s="81" t="s">
        <v>3227</v>
      </c>
      <c r="B1024" s="80">
        <v>2</v>
      </c>
      <c r="C1024" s="104">
        <v>0.00047366098758412623</v>
      </c>
      <c r="D1024" s="80" t="s">
        <v>3370</v>
      </c>
      <c r="E1024" s="80" t="b">
        <v>0</v>
      </c>
      <c r="F1024" s="80" t="b">
        <v>0</v>
      </c>
      <c r="G1024" s="80" t="b">
        <v>0</v>
      </c>
    </row>
    <row r="1025" spans="1:7" ht="15">
      <c r="A1025" s="81" t="s">
        <v>3228</v>
      </c>
      <c r="B1025" s="80">
        <v>2</v>
      </c>
      <c r="C1025" s="104">
        <v>0.00040173028372176515</v>
      </c>
      <c r="D1025" s="80" t="s">
        <v>3370</v>
      </c>
      <c r="E1025" s="80" t="b">
        <v>0</v>
      </c>
      <c r="F1025" s="80" t="b">
        <v>0</v>
      </c>
      <c r="G1025" s="80" t="b">
        <v>0</v>
      </c>
    </row>
    <row r="1026" spans="1:7" ht="15">
      <c r="A1026" s="81" t="s">
        <v>3229</v>
      </c>
      <c r="B1026" s="80">
        <v>2</v>
      </c>
      <c r="C1026" s="104">
        <v>0.00040173028372176515</v>
      </c>
      <c r="D1026" s="80" t="s">
        <v>3370</v>
      </c>
      <c r="E1026" s="80" t="b">
        <v>0</v>
      </c>
      <c r="F1026" s="80" t="b">
        <v>0</v>
      </c>
      <c r="G1026" s="80" t="b">
        <v>0</v>
      </c>
    </row>
    <row r="1027" spans="1:7" ht="15">
      <c r="A1027" s="81" t="s">
        <v>3230</v>
      </c>
      <c r="B1027" s="80">
        <v>2</v>
      </c>
      <c r="C1027" s="104">
        <v>0.00040173028372176515</v>
      </c>
      <c r="D1027" s="80" t="s">
        <v>3370</v>
      </c>
      <c r="E1027" s="80" t="b">
        <v>0</v>
      </c>
      <c r="F1027" s="80" t="b">
        <v>0</v>
      </c>
      <c r="G1027" s="80" t="b">
        <v>0</v>
      </c>
    </row>
    <row r="1028" spans="1:7" ht="15">
      <c r="A1028" s="81" t="s">
        <v>3231</v>
      </c>
      <c r="B1028" s="80">
        <v>2</v>
      </c>
      <c r="C1028" s="104">
        <v>0.00040173028372176515</v>
      </c>
      <c r="D1028" s="80" t="s">
        <v>3370</v>
      </c>
      <c r="E1028" s="80" t="b">
        <v>0</v>
      </c>
      <c r="F1028" s="80" t="b">
        <v>0</v>
      </c>
      <c r="G1028" s="80" t="b">
        <v>0</v>
      </c>
    </row>
    <row r="1029" spans="1:7" ht="15">
      <c r="A1029" s="81" t="s">
        <v>3232</v>
      </c>
      <c r="B1029" s="80">
        <v>2</v>
      </c>
      <c r="C1029" s="104">
        <v>0.00040173028372176515</v>
      </c>
      <c r="D1029" s="80" t="s">
        <v>3370</v>
      </c>
      <c r="E1029" s="80" t="b">
        <v>0</v>
      </c>
      <c r="F1029" s="80" t="b">
        <v>0</v>
      </c>
      <c r="G1029" s="80" t="b">
        <v>0</v>
      </c>
    </row>
    <row r="1030" spans="1:7" ht="15">
      <c r="A1030" s="81" t="s">
        <v>3233</v>
      </c>
      <c r="B1030" s="80">
        <v>2</v>
      </c>
      <c r="C1030" s="104">
        <v>0.00040173028372176515</v>
      </c>
      <c r="D1030" s="80" t="s">
        <v>3370</v>
      </c>
      <c r="E1030" s="80" t="b">
        <v>0</v>
      </c>
      <c r="F1030" s="80" t="b">
        <v>1</v>
      </c>
      <c r="G1030" s="80" t="b">
        <v>0</v>
      </c>
    </row>
    <row r="1031" spans="1:7" ht="15">
      <c r="A1031" s="81" t="s">
        <v>3234</v>
      </c>
      <c r="B1031" s="80">
        <v>2</v>
      </c>
      <c r="C1031" s="104">
        <v>0.00040173028372176515</v>
      </c>
      <c r="D1031" s="80" t="s">
        <v>3370</v>
      </c>
      <c r="E1031" s="80" t="b">
        <v>0</v>
      </c>
      <c r="F1031" s="80" t="b">
        <v>0</v>
      </c>
      <c r="G1031" s="80" t="b">
        <v>0</v>
      </c>
    </row>
    <row r="1032" spans="1:7" ht="15">
      <c r="A1032" s="81" t="s">
        <v>3235</v>
      </c>
      <c r="B1032" s="80">
        <v>2</v>
      </c>
      <c r="C1032" s="104">
        <v>0.00040173028372176515</v>
      </c>
      <c r="D1032" s="80" t="s">
        <v>3370</v>
      </c>
      <c r="E1032" s="80" t="b">
        <v>0</v>
      </c>
      <c r="F1032" s="80" t="b">
        <v>0</v>
      </c>
      <c r="G1032" s="80" t="b">
        <v>0</v>
      </c>
    </row>
    <row r="1033" spans="1:7" ht="15">
      <c r="A1033" s="81" t="s">
        <v>3236</v>
      </c>
      <c r="B1033" s="80">
        <v>2</v>
      </c>
      <c r="C1033" s="104">
        <v>0.00047366098758412623</v>
      </c>
      <c r="D1033" s="80" t="s">
        <v>3370</v>
      </c>
      <c r="E1033" s="80" t="b">
        <v>0</v>
      </c>
      <c r="F1033" s="80" t="b">
        <v>0</v>
      </c>
      <c r="G1033" s="80" t="b">
        <v>0</v>
      </c>
    </row>
    <row r="1034" spans="1:7" ht="15">
      <c r="A1034" s="81" t="s">
        <v>3237</v>
      </c>
      <c r="B1034" s="80">
        <v>2</v>
      </c>
      <c r="C1034" s="104">
        <v>0.00040173028372176515</v>
      </c>
      <c r="D1034" s="80" t="s">
        <v>3370</v>
      </c>
      <c r="E1034" s="80" t="b">
        <v>0</v>
      </c>
      <c r="F1034" s="80" t="b">
        <v>1</v>
      </c>
      <c r="G1034" s="80" t="b">
        <v>0</v>
      </c>
    </row>
    <row r="1035" spans="1:7" ht="15">
      <c r="A1035" s="81" t="s">
        <v>3238</v>
      </c>
      <c r="B1035" s="80">
        <v>2</v>
      </c>
      <c r="C1035" s="104">
        <v>0.00040173028372176515</v>
      </c>
      <c r="D1035" s="80" t="s">
        <v>3370</v>
      </c>
      <c r="E1035" s="80" t="b">
        <v>0</v>
      </c>
      <c r="F1035" s="80" t="b">
        <v>0</v>
      </c>
      <c r="G1035" s="80" t="b">
        <v>0</v>
      </c>
    </row>
    <row r="1036" spans="1:7" ht="15">
      <c r="A1036" s="81" t="s">
        <v>3239</v>
      </c>
      <c r="B1036" s="80">
        <v>2</v>
      </c>
      <c r="C1036" s="104">
        <v>0.00047366098758412623</v>
      </c>
      <c r="D1036" s="80" t="s">
        <v>3370</v>
      </c>
      <c r="E1036" s="80" t="b">
        <v>0</v>
      </c>
      <c r="F1036" s="80" t="b">
        <v>0</v>
      </c>
      <c r="G1036" s="80" t="b">
        <v>0</v>
      </c>
    </row>
    <row r="1037" spans="1:7" ht="15">
      <c r="A1037" s="81" t="s">
        <v>3240</v>
      </c>
      <c r="B1037" s="80">
        <v>2</v>
      </c>
      <c r="C1037" s="104">
        <v>0.00047366098758412623</v>
      </c>
      <c r="D1037" s="80" t="s">
        <v>3370</v>
      </c>
      <c r="E1037" s="80" t="b">
        <v>0</v>
      </c>
      <c r="F1037" s="80" t="b">
        <v>0</v>
      </c>
      <c r="G1037" s="80" t="b">
        <v>0</v>
      </c>
    </row>
    <row r="1038" spans="1:7" ht="15">
      <c r="A1038" s="81" t="s">
        <v>3241</v>
      </c>
      <c r="B1038" s="80">
        <v>2</v>
      </c>
      <c r="C1038" s="104">
        <v>0.00040173028372176515</v>
      </c>
      <c r="D1038" s="80" t="s">
        <v>3370</v>
      </c>
      <c r="E1038" s="80" t="b">
        <v>1</v>
      </c>
      <c r="F1038" s="80" t="b">
        <v>0</v>
      </c>
      <c r="G1038" s="80" t="b">
        <v>0</v>
      </c>
    </row>
    <row r="1039" spans="1:7" ht="15">
      <c r="A1039" s="81" t="s">
        <v>3242</v>
      </c>
      <c r="B1039" s="80">
        <v>2</v>
      </c>
      <c r="C1039" s="104">
        <v>0.00047366098758412623</v>
      </c>
      <c r="D1039" s="80" t="s">
        <v>3370</v>
      </c>
      <c r="E1039" s="80" t="b">
        <v>0</v>
      </c>
      <c r="F1039" s="80" t="b">
        <v>0</v>
      </c>
      <c r="G1039" s="80" t="b">
        <v>0</v>
      </c>
    </row>
    <row r="1040" spans="1:7" ht="15">
      <c r="A1040" s="81" t="s">
        <v>3243</v>
      </c>
      <c r="B1040" s="80">
        <v>2</v>
      </c>
      <c r="C1040" s="104">
        <v>0.00040173028372176515</v>
      </c>
      <c r="D1040" s="80" t="s">
        <v>3370</v>
      </c>
      <c r="E1040" s="80" t="b">
        <v>0</v>
      </c>
      <c r="F1040" s="80" t="b">
        <v>0</v>
      </c>
      <c r="G1040" s="80" t="b">
        <v>0</v>
      </c>
    </row>
    <row r="1041" spans="1:7" ht="15">
      <c r="A1041" s="81" t="s">
        <v>3244</v>
      </c>
      <c r="B1041" s="80">
        <v>2</v>
      </c>
      <c r="C1041" s="104">
        <v>0.00040173028372176515</v>
      </c>
      <c r="D1041" s="80" t="s">
        <v>3370</v>
      </c>
      <c r="E1041" s="80" t="b">
        <v>0</v>
      </c>
      <c r="F1041" s="80" t="b">
        <v>1</v>
      </c>
      <c r="G1041" s="80" t="b">
        <v>0</v>
      </c>
    </row>
    <row r="1042" spans="1:7" ht="15">
      <c r="A1042" s="81" t="s">
        <v>3245</v>
      </c>
      <c r="B1042" s="80">
        <v>2</v>
      </c>
      <c r="C1042" s="104">
        <v>0.00040173028372176515</v>
      </c>
      <c r="D1042" s="80" t="s">
        <v>3370</v>
      </c>
      <c r="E1042" s="80" t="b">
        <v>0</v>
      </c>
      <c r="F1042" s="80" t="b">
        <v>0</v>
      </c>
      <c r="G1042" s="80" t="b">
        <v>0</v>
      </c>
    </row>
    <row r="1043" spans="1:7" ht="15">
      <c r="A1043" s="81" t="s">
        <v>3246</v>
      </c>
      <c r="B1043" s="80">
        <v>2</v>
      </c>
      <c r="C1043" s="104">
        <v>0.00047366098758412623</v>
      </c>
      <c r="D1043" s="80" t="s">
        <v>3370</v>
      </c>
      <c r="E1043" s="80" t="b">
        <v>0</v>
      </c>
      <c r="F1043" s="80" t="b">
        <v>0</v>
      </c>
      <c r="G1043" s="80" t="b">
        <v>0</v>
      </c>
    </row>
    <row r="1044" spans="1:7" ht="15">
      <c r="A1044" s="81" t="s">
        <v>3247</v>
      </c>
      <c r="B1044" s="80">
        <v>2</v>
      </c>
      <c r="C1044" s="104">
        <v>0.00040173028372176515</v>
      </c>
      <c r="D1044" s="80" t="s">
        <v>3370</v>
      </c>
      <c r="E1044" s="80" t="b">
        <v>0</v>
      </c>
      <c r="F1044" s="80" t="b">
        <v>0</v>
      </c>
      <c r="G1044" s="80" t="b">
        <v>0</v>
      </c>
    </row>
    <row r="1045" spans="1:7" ht="15">
      <c r="A1045" s="81" t="s">
        <v>3248</v>
      </c>
      <c r="B1045" s="80">
        <v>2</v>
      </c>
      <c r="C1045" s="104">
        <v>0.00040173028372176515</v>
      </c>
      <c r="D1045" s="80" t="s">
        <v>3370</v>
      </c>
      <c r="E1045" s="80" t="b">
        <v>0</v>
      </c>
      <c r="F1045" s="80" t="b">
        <v>0</v>
      </c>
      <c r="G1045" s="80" t="b">
        <v>0</v>
      </c>
    </row>
    <row r="1046" spans="1:7" ht="15">
      <c r="A1046" s="81" t="s">
        <v>3249</v>
      </c>
      <c r="B1046" s="80">
        <v>2</v>
      </c>
      <c r="C1046" s="104">
        <v>0.00040173028372176515</v>
      </c>
      <c r="D1046" s="80" t="s">
        <v>3370</v>
      </c>
      <c r="E1046" s="80" t="b">
        <v>0</v>
      </c>
      <c r="F1046" s="80" t="b">
        <v>0</v>
      </c>
      <c r="G1046" s="80" t="b">
        <v>0</v>
      </c>
    </row>
    <row r="1047" spans="1:7" ht="15">
      <c r="A1047" s="81" t="s">
        <v>3250</v>
      </c>
      <c r="B1047" s="80">
        <v>2</v>
      </c>
      <c r="C1047" s="104">
        <v>0.00040173028372176515</v>
      </c>
      <c r="D1047" s="80" t="s">
        <v>3370</v>
      </c>
      <c r="E1047" s="80" t="b">
        <v>0</v>
      </c>
      <c r="F1047" s="80" t="b">
        <v>0</v>
      </c>
      <c r="G1047" s="80" t="b">
        <v>0</v>
      </c>
    </row>
    <row r="1048" spans="1:7" ht="15">
      <c r="A1048" s="81" t="s">
        <v>3251</v>
      </c>
      <c r="B1048" s="80">
        <v>2</v>
      </c>
      <c r="C1048" s="104">
        <v>0.00040173028372176515</v>
      </c>
      <c r="D1048" s="80" t="s">
        <v>3370</v>
      </c>
      <c r="E1048" s="80" t="b">
        <v>0</v>
      </c>
      <c r="F1048" s="80" t="b">
        <v>0</v>
      </c>
      <c r="G1048" s="80" t="b">
        <v>0</v>
      </c>
    </row>
    <row r="1049" spans="1:7" ht="15">
      <c r="A1049" s="81" t="s">
        <v>3252</v>
      </c>
      <c r="B1049" s="80">
        <v>2</v>
      </c>
      <c r="C1049" s="104">
        <v>0.00040173028372176515</v>
      </c>
      <c r="D1049" s="80" t="s">
        <v>3370</v>
      </c>
      <c r="E1049" s="80" t="b">
        <v>0</v>
      </c>
      <c r="F1049" s="80" t="b">
        <v>0</v>
      </c>
      <c r="G1049" s="80" t="b">
        <v>0</v>
      </c>
    </row>
    <row r="1050" spans="1:7" ht="15">
      <c r="A1050" s="81" t="s">
        <v>3253</v>
      </c>
      <c r="B1050" s="80">
        <v>2</v>
      </c>
      <c r="C1050" s="104">
        <v>0.00040173028372176515</v>
      </c>
      <c r="D1050" s="80" t="s">
        <v>3370</v>
      </c>
      <c r="E1050" s="80" t="b">
        <v>0</v>
      </c>
      <c r="F1050" s="80" t="b">
        <v>0</v>
      </c>
      <c r="G1050" s="80" t="b">
        <v>0</v>
      </c>
    </row>
    <row r="1051" spans="1:7" ht="15">
      <c r="A1051" s="81" t="s">
        <v>3254</v>
      </c>
      <c r="B1051" s="80">
        <v>2</v>
      </c>
      <c r="C1051" s="104">
        <v>0.00040173028372176515</v>
      </c>
      <c r="D1051" s="80" t="s">
        <v>3370</v>
      </c>
      <c r="E1051" s="80" t="b">
        <v>0</v>
      </c>
      <c r="F1051" s="80" t="b">
        <v>0</v>
      </c>
      <c r="G1051" s="80" t="b">
        <v>0</v>
      </c>
    </row>
    <row r="1052" spans="1:7" ht="15">
      <c r="A1052" s="81" t="s">
        <v>3255</v>
      </c>
      <c r="B1052" s="80">
        <v>2</v>
      </c>
      <c r="C1052" s="104">
        <v>0.00047366098758412623</v>
      </c>
      <c r="D1052" s="80" t="s">
        <v>3370</v>
      </c>
      <c r="E1052" s="80" t="b">
        <v>0</v>
      </c>
      <c r="F1052" s="80" t="b">
        <v>0</v>
      </c>
      <c r="G1052" s="80" t="b">
        <v>0</v>
      </c>
    </row>
    <row r="1053" spans="1:7" ht="15">
      <c r="A1053" s="81" t="s">
        <v>3256</v>
      </c>
      <c r="B1053" s="80">
        <v>2</v>
      </c>
      <c r="C1053" s="104">
        <v>0.00040173028372176515</v>
      </c>
      <c r="D1053" s="80" t="s">
        <v>3370</v>
      </c>
      <c r="E1053" s="80" t="b">
        <v>0</v>
      </c>
      <c r="F1053" s="80" t="b">
        <v>0</v>
      </c>
      <c r="G1053" s="80" t="b">
        <v>0</v>
      </c>
    </row>
    <row r="1054" spans="1:7" ht="15">
      <c r="A1054" s="81" t="s">
        <v>3257</v>
      </c>
      <c r="B1054" s="80">
        <v>2</v>
      </c>
      <c r="C1054" s="104">
        <v>0.00040173028372176515</v>
      </c>
      <c r="D1054" s="80" t="s">
        <v>3370</v>
      </c>
      <c r="E1054" s="80" t="b">
        <v>0</v>
      </c>
      <c r="F1054" s="80" t="b">
        <v>0</v>
      </c>
      <c r="G1054" s="80" t="b">
        <v>0</v>
      </c>
    </row>
    <row r="1055" spans="1:7" ht="15">
      <c r="A1055" s="81" t="s">
        <v>3258</v>
      </c>
      <c r="B1055" s="80">
        <v>2</v>
      </c>
      <c r="C1055" s="104">
        <v>0.00040173028372176515</v>
      </c>
      <c r="D1055" s="80" t="s">
        <v>3370</v>
      </c>
      <c r="E1055" s="80" t="b">
        <v>0</v>
      </c>
      <c r="F1055" s="80" t="b">
        <v>0</v>
      </c>
      <c r="G1055" s="80" t="b">
        <v>0</v>
      </c>
    </row>
    <row r="1056" spans="1:7" ht="15">
      <c r="A1056" s="81" t="s">
        <v>3259</v>
      </c>
      <c r="B1056" s="80">
        <v>2</v>
      </c>
      <c r="C1056" s="104">
        <v>0.00040173028372176515</v>
      </c>
      <c r="D1056" s="80" t="s">
        <v>3370</v>
      </c>
      <c r="E1056" s="80" t="b">
        <v>0</v>
      </c>
      <c r="F1056" s="80" t="b">
        <v>0</v>
      </c>
      <c r="G1056" s="80" t="b">
        <v>0</v>
      </c>
    </row>
    <row r="1057" spans="1:7" ht="15">
      <c r="A1057" s="81" t="s">
        <v>3260</v>
      </c>
      <c r="B1057" s="80">
        <v>2</v>
      </c>
      <c r="C1057" s="104">
        <v>0.00047366098758412623</v>
      </c>
      <c r="D1057" s="80" t="s">
        <v>3370</v>
      </c>
      <c r="E1057" s="80" t="b">
        <v>0</v>
      </c>
      <c r="F1057" s="80" t="b">
        <v>0</v>
      </c>
      <c r="G1057" s="80" t="b">
        <v>0</v>
      </c>
    </row>
    <row r="1058" spans="1:7" ht="15">
      <c r="A1058" s="81" t="s">
        <v>3261</v>
      </c>
      <c r="B1058" s="80">
        <v>2</v>
      </c>
      <c r="C1058" s="104">
        <v>0.00040173028372176515</v>
      </c>
      <c r="D1058" s="80" t="s">
        <v>3370</v>
      </c>
      <c r="E1058" s="80" t="b">
        <v>0</v>
      </c>
      <c r="F1058" s="80" t="b">
        <v>0</v>
      </c>
      <c r="G1058" s="80" t="b">
        <v>0</v>
      </c>
    </row>
    <row r="1059" spans="1:7" ht="15">
      <c r="A1059" s="81" t="s">
        <v>3262</v>
      </c>
      <c r="B1059" s="80">
        <v>2</v>
      </c>
      <c r="C1059" s="104">
        <v>0.00047366098758412623</v>
      </c>
      <c r="D1059" s="80" t="s">
        <v>3370</v>
      </c>
      <c r="E1059" s="80" t="b">
        <v>0</v>
      </c>
      <c r="F1059" s="80" t="b">
        <v>0</v>
      </c>
      <c r="G1059" s="80" t="b">
        <v>0</v>
      </c>
    </row>
    <row r="1060" spans="1:7" ht="15">
      <c r="A1060" s="81" t="s">
        <v>3263</v>
      </c>
      <c r="B1060" s="80">
        <v>2</v>
      </c>
      <c r="C1060" s="104">
        <v>0.00040173028372176515</v>
      </c>
      <c r="D1060" s="80" t="s">
        <v>3370</v>
      </c>
      <c r="E1060" s="80" t="b">
        <v>0</v>
      </c>
      <c r="F1060" s="80" t="b">
        <v>0</v>
      </c>
      <c r="G1060" s="80" t="b">
        <v>0</v>
      </c>
    </row>
    <row r="1061" spans="1:7" ht="15">
      <c r="A1061" s="81" t="s">
        <v>3264</v>
      </c>
      <c r="B1061" s="80">
        <v>2</v>
      </c>
      <c r="C1061" s="104">
        <v>0.00047366098758412623</v>
      </c>
      <c r="D1061" s="80" t="s">
        <v>3370</v>
      </c>
      <c r="E1061" s="80" t="b">
        <v>0</v>
      </c>
      <c r="F1061" s="80" t="b">
        <v>0</v>
      </c>
      <c r="G1061" s="80" t="b">
        <v>0</v>
      </c>
    </row>
    <row r="1062" spans="1:7" ht="15">
      <c r="A1062" s="81" t="s">
        <v>3265</v>
      </c>
      <c r="B1062" s="80">
        <v>2</v>
      </c>
      <c r="C1062" s="104">
        <v>0.00040173028372176515</v>
      </c>
      <c r="D1062" s="80" t="s">
        <v>3370</v>
      </c>
      <c r="E1062" s="80" t="b">
        <v>0</v>
      </c>
      <c r="F1062" s="80" t="b">
        <v>0</v>
      </c>
      <c r="G1062" s="80" t="b">
        <v>0</v>
      </c>
    </row>
    <row r="1063" spans="1:7" ht="15">
      <c r="A1063" s="81" t="s">
        <v>3266</v>
      </c>
      <c r="B1063" s="80">
        <v>2</v>
      </c>
      <c r="C1063" s="104">
        <v>0.00040173028372176515</v>
      </c>
      <c r="D1063" s="80" t="s">
        <v>3370</v>
      </c>
      <c r="E1063" s="80" t="b">
        <v>0</v>
      </c>
      <c r="F1063" s="80" t="b">
        <v>0</v>
      </c>
      <c r="G1063" s="80" t="b">
        <v>0</v>
      </c>
    </row>
    <row r="1064" spans="1:7" ht="15">
      <c r="A1064" s="81" t="s">
        <v>3267</v>
      </c>
      <c r="B1064" s="80">
        <v>2</v>
      </c>
      <c r="C1064" s="104">
        <v>0.00040173028372176515</v>
      </c>
      <c r="D1064" s="80" t="s">
        <v>3370</v>
      </c>
      <c r="E1064" s="80" t="b">
        <v>0</v>
      </c>
      <c r="F1064" s="80" t="b">
        <v>0</v>
      </c>
      <c r="G1064" s="80" t="b">
        <v>0</v>
      </c>
    </row>
    <row r="1065" spans="1:7" ht="15">
      <c r="A1065" s="81" t="s">
        <v>3268</v>
      </c>
      <c r="B1065" s="80">
        <v>2</v>
      </c>
      <c r="C1065" s="104">
        <v>0.00040173028372176515</v>
      </c>
      <c r="D1065" s="80" t="s">
        <v>3370</v>
      </c>
      <c r="E1065" s="80" t="b">
        <v>0</v>
      </c>
      <c r="F1065" s="80" t="b">
        <v>0</v>
      </c>
      <c r="G1065" s="80" t="b">
        <v>0</v>
      </c>
    </row>
    <row r="1066" spans="1:7" ht="15">
      <c r="A1066" s="81" t="s">
        <v>3269</v>
      </c>
      <c r="B1066" s="80">
        <v>2</v>
      </c>
      <c r="C1066" s="104">
        <v>0.00040173028372176515</v>
      </c>
      <c r="D1066" s="80" t="s">
        <v>3370</v>
      </c>
      <c r="E1066" s="80" t="b">
        <v>0</v>
      </c>
      <c r="F1066" s="80" t="b">
        <v>0</v>
      </c>
      <c r="G1066" s="80" t="b">
        <v>0</v>
      </c>
    </row>
    <row r="1067" spans="1:7" ht="15">
      <c r="A1067" s="81" t="s">
        <v>3270</v>
      </c>
      <c r="B1067" s="80">
        <v>2</v>
      </c>
      <c r="C1067" s="104">
        <v>0.00040173028372176515</v>
      </c>
      <c r="D1067" s="80" t="s">
        <v>3370</v>
      </c>
      <c r="E1067" s="80" t="b">
        <v>0</v>
      </c>
      <c r="F1067" s="80" t="b">
        <v>0</v>
      </c>
      <c r="G1067" s="80" t="b">
        <v>0</v>
      </c>
    </row>
    <row r="1068" spans="1:7" ht="15">
      <c r="A1068" s="81" t="s">
        <v>3271</v>
      </c>
      <c r="B1068" s="80">
        <v>2</v>
      </c>
      <c r="C1068" s="104">
        <v>0.00040173028372176515</v>
      </c>
      <c r="D1068" s="80" t="s">
        <v>3370</v>
      </c>
      <c r="E1068" s="80" t="b">
        <v>0</v>
      </c>
      <c r="F1068" s="80" t="b">
        <v>0</v>
      </c>
      <c r="G1068" s="80" t="b">
        <v>0</v>
      </c>
    </row>
    <row r="1069" spans="1:7" ht="15">
      <c r="A1069" s="81" t="s">
        <v>3272</v>
      </c>
      <c r="B1069" s="80">
        <v>2</v>
      </c>
      <c r="C1069" s="104">
        <v>0.00047366098758412623</v>
      </c>
      <c r="D1069" s="80" t="s">
        <v>3370</v>
      </c>
      <c r="E1069" s="80" t="b">
        <v>0</v>
      </c>
      <c r="F1069" s="80" t="b">
        <v>0</v>
      </c>
      <c r="G1069" s="80" t="b">
        <v>0</v>
      </c>
    </row>
    <row r="1070" spans="1:7" ht="15">
      <c r="A1070" s="81" t="s">
        <v>3273</v>
      </c>
      <c r="B1070" s="80">
        <v>2</v>
      </c>
      <c r="C1070" s="104">
        <v>0.00040173028372176515</v>
      </c>
      <c r="D1070" s="80" t="s">
        <v>3370</v>
      </c>
      <c r="E1070" s="80" t="b">
        <v>0</v>
      </c>
      <c r="F1070" s="80" t="b">
        <v>0</v>
      </c>
      <c r="G1070" s="80" t="b">
        <v>0</v>
      </c>
    </row>
    <row r="1071" spans="1:7" ht="15">
      <c r="A1071" s="81" t="s">
        <v>3274</v>
      </c>
      <c r="B1071" s="80">
        <v>2</v>
      </c>
      <c r="C1071" s="104">
        <v>0.00040173028372176515</v>
      </c>
      <c r="D1071" s="80" t="s">
        <v>3370</v>
      </c>
      <c r="E1071" s="80" t="b">
        <v>0</v>
      </c>
      <c r="F1071" s="80" t="b">
        <v>0</v>
      </c>
      <c r="G1071" s="80" t="b">
        <v>0</v>
      </c>
    </row>
    <row r="1072" spans="1:7" ht="15">
      <c r="A1072" s="81" t="s">
        <v>3275</v>
      </c>
      <c r="B1072" s="80">
        <v>2</v>
      </c>
      <c r="C1072" s="104">
        <v>0.00047366098758412623</v>
      </c>
      <c r="D1072" s="80" t="s">
        <v>3370</v>
      </c>
      <c r="E1072" s="80" t="b">
        <v>0</v>
      </c>
      <c r="F1072" s="80" t="b">
        <v>0</v>
      </c>
      <c r="G1072" s="80" t="b">
        <v>0</v>
      </c>
    </row>
    <row r="1073" spans="1:7" ht="15">
      <c r="A1073" s="81" t="s">
        <v>3276</v>
      </c>
      <c r="B1073" s="80">
        <v>2</v>
      </c>
      <c r="C1073" s="104">
        <v>0.00047366098758412623</v>
      </c>
      <c r="D1073" s="80" t="s">
        <v>3370</v>
      </c>
      <c r="E1073" s="80" t="b">
        <v>0</v>
      </c>
      <c r="F1073" s="80" t="b">
        <v>0</v>
      </c>
      <c r="G1073" s="80" t="b">
        <v>0</v>
      </c>
    </row>
    <row r="1074" spans="1:7" ht="15">
      <c r="A1074" s="81" t="s">
        <v>3277</v>
      </c>
      <c r="B1074" s="80">
        <v>2</v>
      </c>
      <c r="C1074" s="104">
        <v>0.00040173028372176515</v>
      </c>
      <c r="D1074" s="80" t="s">
        <v>3370</v>
      </c>
      <c r="E1074" s="80" t="b">
        <v>0</v>
      </c>
      <c r="F1074" s="80" t="b">
        <v>0</v>
      </c>
      <c r="G1074" s="80" t="b">
        <v>0</v>
      </c>
    </row>
    <row r="1075" spans="1:7" ht="15">
      <c r="A1075" s="81" t="s">
        <v>3278</v>
      </c>
      <c r="B1075" s="80">
        <v>2</v>
      </c>
      <c r="C1075" s="104">
        <v>0.00040173028372176515</v>
      </c>
      <c r="D1075" s="80" t="s">
        <v>3370</v>
      </c>
      <c r="E1075" s="80" t="b">
        <v>0</v>
      </c>
      <c r="F1075" s="80" t="b">
        <v>0</v>
      </c>
      <c r="G1075" s="80" t="b">
        <v>0</v>
      </c>
    </row>
    <row r="1076" spans="1:7" ht="15">
      <c r="A1076" s="81" t="s">
        <v>3279</v>
      </c>
      <c r="B1076" s="80">
        <v>2</v>
      </c>
      <c r="C1076" s="104">
        <v>0.00047366098758412623</v>
      </c>
      <c r="D1076" s="80" t="s">
        <v>3370</v>
      </c>
      <c r="E1076" s="80" t="b">
        <v>0</v>
      </c>
      <c r="F1076" s="80" t="b">
        <v>0</v>
      </c>
      <c r="G1076" s="80" t="b">
        <v>0</v>
      </c>
    </row>
    <row r="1077" spans="1:7" ht="15">
      <c r="A1077" s="81" t="s">
        <v>3280</v>
      </c>
      <c r="B1077" s="80">
        <v>2</v>
      </c>
      <c r="C1077" s="104">
        <v>0.00040173028372176515</v>
      </c>
      <c r="D1077" s="80" t="s">
        <v>3370</v>
      </c>
      <c r="E1077" s="80" t="b">
        <v>0</v>
      </c>
      <c r="F1077" s="80" t="b">
        <v>0</v>
      </c>
      <c r="G1077" s="80" t="b">
        <v>0</v>
      </c>
    </row>
    <row r="1078" spans="1:7" ht="15">
      <c r="A1078" s="81" t="s">
        <v>3281</v>
      </c>
      <c r="B1078" s="80">
        <v>2</v>
      </c>
      <c r="C1078" s="104">
        <v>0.00047366098758412623</v>
      </c>
      <c r="D1078" s="80" t="s">
        <v>3370</v>
      </c>
      <c r="E1078" s="80" t="b">
        <v>0</v>
      </c>
      <c r="F1078" s="80" t="b">
        <v>0</v>
      </c>
      <c r="G1078" s="80" t="b">
        <v>0</v>
      </c>
    </row>
    <row r="1079" spans="1:7" ht="15">
      <c r="A1079" s="81" t="s">
        <v>3282</v>
      </c>
      <c r="B1079" s="80">
        <v>2</v>
      </c>
      <c r="C1079" s="104">
        <v>0.00040173028372176515</v>
      </c>
      <c r="D1079" s="80" t="s">
        <v>3370</v>
      </c>
      <c r="E1079" s="80" t="b">
        <v>0</v>
      </c>
      <c r="F1079" s="80" t="b">
        <v>0</v>
      </c>
      <c r="G1079" s="80" t="b">
        <v>0</v>
      </c>
    </row>
    <row r="1080" spans="1:7" ht="15">
      <c r="A1080" s="81" t="s">
        <v>3283</v>
      </c>
      <c r="B1080" s="80">
        <v>2</v>
      </c>
      <c r="C1080" s="104">
        <v>0.00040173028372176515</v>
      </c>
      <c r="D1080" s="80" t="s">
        <v>3370</v>
      </c>
      <c r="E1080" s="80" t="b">
        <v>0</v>
      </c>
      <c r="F1080" s="80" t="b">
        <v>0</v>
      </c>
      <c r="G1080" s="80" t="b">
        <v>0</v>
      </c>
    </row>
    <row r="1081" spans="1:7" ht="15">
      <c r="A1081" s="81" t="s">
        <v>3284</v>
      </c>
      <c r="B1081" s="80">
        <v>2</v>
      </c>
      <c r="C1081" s="104">
        <v>0.00040173028372176515</v>
      </c>
      <c r="D1081" s="80" t="s">
        <v>3370</v>
      </c>
      <c r="E1081" s="80" t="b">
        <v>0</v>
      </c>
      <c r="F1081" s="80" t="b">
        <v>0</v>
      </c>
      <c r="G1081" s="80" t="b">
        <v>0</v>
      </c>
    </row>
    <row r="1082" spans="1:7" ht="15">
      <c r="A1082" s="81" t="s">
        <v>3285</v>
      </c>
      <c r="B1082" s="80">
        <v>2</v>
      </c>
      <c r="C1082" s="104">
        <v>0.00047366098758412623</v>
      </c>
      <c r="D1082" s="80" t="s">
        <v>3370</v>
      </c>
      <c r="E1082" s="80" t="b">
        <v>0</v>
      </c>
      <c r="F1082" s="80" t="b">
        <v>0</v>
      </c>
      <c r="G1082" s="80" t="b">
        <v>0</v>
      </c>
    </row>
    <row r="1083" spans="1:7" ht="15">
      <c r="A1083" s="81" t="s">
        <v>3286</v>
      </c>
      <c r="B1083" s="80">
        <v>2</v>
      </c>
      <c r="C1083" s="104">
        <v>0.00047366098758412623</v>
      </c>
      <c r="D1083" s="80" t="s">
        <v>3370</v>
      </c>
      <c r="E1083" s="80" t="b">
        <v>0</v>
      </c>
      <c r="F1083" s="80" t="b">
        <v>0</v>
      </c>
      <c r="G1083" s="80" t="b">
        <v>0</v>
      </c>
    </row>
    <row r="1084" spans="1:7" ht="15">
      <c r="A1084" s="81" t="s">
        <v>3287</v>
      </c>
      <c r="B1084" s="80">
        <v>2</v>
      </c>
      <c r="C1084" s="104">
        <v>0.00040173028372176515</v>
      </c>
      <c r="D1084" s="80" t="s">
        <v>3370</v>
      </c>
      <c r="E1084" s="80" t="b">
        <v>0</v>
      </c>
      <c r="F1084" s="80" t="b">
        <v>0</v>
      </c>
      <c r="G1084" s="80" t="b">
        <v>0</v>
      </c>
    </row>
    <row r="1085" spans="1:7" ht="15">
      <c r="A1085" s="81" t="s">
        <v>3288</v>
      </c>
      <c r="B1085" s="80">
        <v>2</v>
      </c>
      <c r="C1085" s="104">
        <v>0.00040173028372176515</v>
      </c>
      <c r="D1085" s="80" t="s">
        <v>3370</v>
      </c>
      <c r="E1085" s="80" t="b">
        <v>0</v>
      </c>
      <c r="F1085" s="80" t="b">
        <v>0</v>
      </c>
      <c r="G1085" s="80" t="b">
        <v>0</v>
      </c>
    </row>
    <row r="1086" spans="1:7" ht="15">
      <c r="A1086" s="81" t="s">
        <v>3289</v>
      </c>
      <c r="B1086" s="80">
        <v>2</v>
      </c>
      <c r="C1086" s="104">
        <v>0.00047366098758412623</v>
      </c>
      <c r="D1086" s="80" t="s">
        <v>3370</v>
      </c>
      <c r="E1086" s="80" t="b">
        <v>0</v>
      </c>
      <c r="F1086" s="80" t="b">
        <v>0</v>
      </c>
      <c r="G1086" s="80" t="b">
        <v>0</v>
      </c>
    </row>
    <row r="1087" spans="1:7" ht="15">
      <c r="A1087" s="81" t="s">
        <v>3290</v>
      </c>
      <c r="B1087" s="80">
        <v>2</v>
      </c>
      <c r="C1087" s="104">
        <v>0.00040173028372176515</v>
      </c>
      <c r="D1087" s="80" t="s">
        <v>3370</v>
      </c>
      <c r="E1087" s="80" t="b">
        <v>0</v>
      </c>
      <c r="F1087" s="80" t="b">
        <v>0</v>
      </c>
      <c r="G1087" s="80" t="b">
        <v>0</v>
      </c>
    </row>
    <row r="1088" spans="1:7" ht="15">
      <c r="A1088" s="81" t="s">
        <v>3291</v>
      </c>
      <c r="B1088" s="80">
        <v>2</v>
      </c>
      <c r="C1088" s="104">
        <v>0.00047366098758412623</v>
      </c>
      <c r="D1088" s="80" t="s">
        <v>3370</v>
      </c>
      <c r="E1088" s="80" t="b">
        <v>0</v>
      </c>
      <c r="F1088" s="80" t="b">
        <v>0</v>
      </c>
      <c r="G1088" s="80" t="b">
        <v>0</v>
      </c>
    </row>
    <row r="1089" spans="1:7" ht="15">
      <c r="A1089" s="81" t="s">
        <v>3292</v>
      </c>
      <c r="B1089" s="80">
        <v>2</v>
      </c>
      <c r="C1089" s="104">
        <v>0.00047366098758412623</v>
      </c>
      <c r="D1089" s="80" t="s">
        <v>3370</v>
      </c>
      <c r="E1089" s="80" t="b">
        <v>0</v>
      </c>
      <c r="F1089" s="80" t="b">
        <v>0</v>
      </c>
      <c r="G1089" s="80" t="b">
        <v>0</v>
      </c>
    </row>
    <row r="1090" spans="1:7" ht="15">
      <c r="A1090" s="81" t="s">
        <v>3293</v>
      </c>
      <c r="B1090" s="80">
        <v>2</v>
      </c>
      <c r="C1090" s="104">
        <v>0.00040173028372176515</v>
      </c>
      <c r="D1090" s="80" t="s">
        <v>3370</v>
      </c>
      <c r="E1090" s="80" t="b">
        <v>0</v>
      </c>
      <c r="F1090" s="80" t="b">
        <v>0</v>
      </c>
      <c r="G1090" s="80" t="b">
        <v>0</v>
      </c>
    </row>
    <row r="1091" spans="1:7" ht="15">
      <c r="A1091" s="81" t="s">
        <v>3294</v>
      </c>
      <c r="B1091" s="80">
        <v>2</v>
      </c>
      <c r="C1091" s="104">
        <v>0.00040173028372176515</v>
      </c>
      <c r="D1091" s="80" t="s">
        <v>3370</v>
      </c>
      <c r="E1091" s="80" t="b">
        <v>0</v>
      </c>
      <c r="F1091" s="80" t="b">
        <v>1</v>
      </c>
      <c r="G1091" s="80" t="b">
        <v>0</v>
      </c>
    </row>
    <row r="1092" spans="1:7" ht="15">
      <c r="A1092" s="81" t="s">
        <v>3295</v>
      </c>
      <c r="B1092" s="80">
        <v>2</v>
      </c>
      <c r="C1092" s="104">
        <v>0.00047366098758412623</v>
      </c>
      <c r="D1092" s="80" t="s">
        <v>3370</v>
      </c>
      <c r="E1092" s="80" t="b">
        <v>0</v>
      </c>
      <c r="F1092" s="80" t="b">
        <v>0</v>
      </c>
      <c r="G1092" s="80" t="b">
        <v>0</v>
      </c>
    </row>
    <row r="1093" spans="1:7" ht="15">
      <c r="A1093" s="81" t="s">
        <v>3296</v>
      </c>
      <c r="B1093" s="80">
        <v>2</v>
      </c>
      <c r="C1093" s="104">
        <v>0.00047366098758412623</v>
      </c>
      <c r="D1093" s="80" t="s">
        <v>3370</v>
      </c>
      <c r="E1093" s="80" t="b">
        <v>0</v>
      </c>
      <c r="F1093" s="80" t="b">
        <v>0</v>
      </c>
      <c r="G1093" s="80" t="b">
        <v>0</v>
      </c>
    </row>
    <row r="1094" spans="1:7" ht="15">
      <c r="A1094" s="81" t="s">
        <v>3297</v>
      </c>
      <c r="B1094" s="80">
        <v>2</v>
      </c>
      <c r="C1094" s="104">
        <v>0.00047366098758412623</v>
      </c>
      <c r="D1094" s="80" t="s">
        <v>3370</v>
      </c>
      <c r="E1094" s="80" t="b">
        <v>0</v>
      </c>
      <c r="F1094" s="80" t="b">
        <v>0</v>
      </c>
      <c r="G1094" s="80" t="b">
        <v>0</v>
      </c>
    </row>
    <row r="1095" spans="1:7" ht="15">
      <c r="A1095" s="81" t="s">
        <v>3298</v>
      </c>
      <c r="B1095" s="80">
        <v>2</v>
      </c>
      <c r="C1095" s="104">
        <v>0.00047366098758412623</v>
      </c>
      <c r="D1095" s="80" t="s">
        <v>3370</v>
      </c>
      <c r="E1095" s="80" t="b">
        <v>0</v>
      </c>
      <c r="F1095" s="80" t="b">
        <v>0</v>
      </c>
      <c r="G1095" s="80" t="b">
        <v>0</v>
      </c>
    </row>
    <row r="1096" spans="1:7" ht="15">
      <c r="A1096" s="81" t="s">
        <v>3299</v>
      </c>
      <c r="B1096" s="80">
        <v>2</v>
      </c>
      <c r="C1096" s="104">
        <v>0.00040173028372176515</v>
      </c>
      <c r="D1096" s="80" t="s">
        <v>3370</v>
      </c>
      <c r="E1096" s="80" t="b">
        <v>0</v>
      </c>
      <c r="F1096" s="80" t="b">
        <v>0</v>
      </c>
      <c r="G1096" s="80" t="b">
        <v>0</v>
      </c>
    </row>
    <row r="1097" spans="1:7" ht="15">
      <c r="A1097" s="81" t="s">
        <v>3300</v>
      </c>
      <c r="B1097" s="80">
        <v>2</v>
      </c>
      <c r="C1097" s="104">
        <v>0.00040173028372176515</v>
      </c>
      <c r="D1097" s="80" t="s">
        <v>3370</v>
      </c>
      <c r="E1097" s="80" t="b">
        <v>0</v>
      </c>
      <c r="F1097" s="80" t="b">
        <v>0</v>
      </c>
      <c r="G1097" s="80" t="b">
        <v>0</v>
      </c>
    </row>
    <row r="1098" spans="1:7" ht="15">
      <c r="A1098" s="81" t="s">
        <v>3301</v>
      </c>
      <c r="B1098" s="80">
        <v>2</v>
      </c>
      <c r="C1098" s="104">
        <v>0.00040173028372176515</v>
      </c>
      <c r="D1098" s="80" t="s">
        <v>3370</v>
      </c>
      <c r="E1098" s="80" t="b">
        <v>0</v>
      </c>
      <c r="F1098" s="80" t="b">
        <v>0</v>
      </c>
      <c r="G1098" s="80" t="b">
        <v>0</v>
      </c>
    </row>
    <row r="1099" spans="1:7" ht="15">
      <c r="A1099" s="81" t="s">
        <v>3302</v>
      </c>
      <c r="B1099" s="80">
        <v>2</v>
      </c>
      <c r="C1099" s="104">
        <v>0.00040173028372176515</v>
      </c>
      <c r="D1099" s="80" t="s">
        <v>3370</v>
      </c>
      <c r="E1099" s="80" t="b">
        <v>0</v>
      </c>
      <c r="F1099" s="80" t="b">
        <v>0</v>
      </c>
      <c r="G1099" s="80" t="b">
        <v>0</v>
      </c>
    </row>
    <row r="1100" spans="1:7" ht="15">
      <c r="A1100" s="81" t="s">
        <v>3303</v>
      </c>
      <c r="B1100" s="80">
        <v>2</v>
      </c>
      <c r="C1100" s="104">
        <v>0.00040173028372176515</v>
      </c>
      <c r="D1100" s="80" t="s">
        <v>3370</v>
      </c>
      <c r="E1100" s="80" t="b">
        <v>0</v>
      </c>
      <c r="F1100" s="80" t="b">
        <v>0</v>
      </c>
      <c r="G1100" s="80" t="b">
        <v>0</v>
      </c>
    </row>
    <row r="1101" spans="1:7" ht="15">
      <c r="A1101" s="81" t="s">
        <v>3304</v>
      </c>
      <c r="B1101" s="80">
        <v>2</v>
      </c>
      <c r="C1101" s="104">
        <v>0.00040173028372176515</v>
      </c>
      <c r="D1101" s="80" t="s">
        <v>3370</v>
      </c>
      <c r="E1101" s="80" t="b">
        <v>0</v>
      </c>
      <c r="F1101" s="80" t="b">
        <v>0</v>
      </c>
      <c r="G1101" s="80" t="b">
        <v>0</v>
      </c>
    </row>
    <row r="1102" spans="1:7" ht="15">
      <c r="A1102" s="81" t="s">
        <v>3305</v>
      </c>
      <c r="B1102" s="80">
        <v>2</v>
      </c>
      <c r="C1102" s="104">
        <v>0.00040173028372176515</v>
      </c>
      <c r="D1102" s="80" t="s">
        <v>3370</v>
      </c>
      <c r="E1102" s="80" t="b">
        <v>0</v>
      </c>
      <c r="F1102" s="80" t="b">
        <v>0</v>
      </c>
      <c r="G1102" s="80" t="b">
        <v>0</v>
      </c>
    </row>
    <row r="1103" spans="1:7" ht="15">
      <c r="A1103" s="81" t="s">
        <v>3306</v>
      </c>
      <c r="B1103" s="80">
        <v>2</v>
      </c>
      <c r="C1103" s="104">
        <v>0.00040173028372176515</v>
      </c>
      <c r="D1103" s="80" t="s">
        <v>3370</v>
      </c>
      <c r="E1103" s="80" t="b">
        <v>0</v>
      </c>
      <c r="F1103" s="80" t="b">
        <v>0</v>
      </c>
      <c r="G1103" s="80" t="b">
        <v>0</v>
      </c>
    </row>
    <row r="1104" spans="1:7" ht="15">
      <c r="A1104" s="81" t="s">
        <v>3307</v>
      </c>
      <c r="B1104" s="80">
        <v>2</v>
      </c>
      <c r="C1104" s="104">
        <v>0.00047366098758412623</v>
      </c>
      <c r="D1104" s="80" t="s">
        <v>3370</v>
      </c>
      <c r="E1104" s="80" t="b">
        <v>0</v>
      </c>
      <c r="F1104" s="80" t="b">
        <v>0</v>
      </c>
      <c r="G1104" s="80" t="b">
        <v>0</v>
      </c>
    </row>
    <row r="1105" spans="1:7" ht="15">
      <c r="A1105" s="81" t="s">
        <v>3308</v>
      </c>
      <c r="B1105" s="80">
        <v>2</v>
      </c>
      <c r="C1105" s="104">
        <v>0.00047366098758412623</v>
      </c>
      <c r="D1105" s="80" t="s">
        <v>3370</v>
      </c>
      <c r="E1105" s="80" t="b">
        <v>0</v>
      </c>
      <c r="F1105" s="80" t="b">
        <v>0</v>
      </c>
      <c r="G1105" s="80" t="b">
        <v>0</v>
      </c>
    </row>
    <row r="1106" spans="1:7" ht="15">
      <c r="A1106" s="81" t="s">
        <v>3309</v>
      </c>
      <c r="B1106" s="80">
        <v>2</v>
      </c>
      <c r="C1106" s="104">
        <v>0.00040173028372176515</v>
      </c>
      <c r="D1106" s="80" t="s">
        <v>3370</v>
      </c>
      <c r="E1106" s="80" t="b">
        <v>0</v>
      </c>
      <c r="F1106" s="80" t="b">
        <v>0</v>
      </c>
      <c r="G1106" s="80" t="b">
        <v>0</v>
      </c>
    </row>
    <row r="1107" spans="1:7" ht="15">
      <c r="A1107" s="81" t="s">
        <v>3310</v>
      </c>
      <c r="B1107" s="80">
        <v>2</v>
      </c>
      <c r="C1107" s="104">
        <v>0.00040173028372176515</v>
      </c>
      <c r="D1107" s="80" t="s">
        <v>3370</v>
      </c>
      <c r="E1107" s="80" t="b">
        <v>0</v>
      </c>
      <c r="F1107" s="80" t="b">
        <v>0</v>
      </c>
      <c r="G1107" s="80" t="b">
        <v>0</v>
      </c>
    </row>
    <row r="1108" spans="1:7" ht="15">
      <c r="A1108" s="81" t="s">
        <v>3311</v>
      </c>
      <c r="B1108" s="80">
        <v>2</v>
      </c>
      <c r="C1108" s="104">
        <v>0.00047366098758412623</v>
      </c>
      <c r="D1108" s="80" t="s">
        <v>3370</v>
      </c>
      <c r="E1108" s="80" t="b">
        <v>0</v>
      </c>
      <c r="F1108" s="80" t="b">
        <v>0</v>
      </c>
      <c r="G1108" s="80" t="b">
        <v>0</v>
      </c>
    </row>
    <row r="1109" spans="1:7" ht="15">
      <c r="A1109" s="81" t="s">
        <v>3312</v>
      </c>
      <c r="B1109" s="80">
        <v>2</v>
      </c>
      <c r="C1109" s="104">
        <v>0.00047366098758412623</v>
      </c>
      <c r="D1109" s="80" t="s">
        <v>3370</v>
      </c>
      <c r="E1109" s="80" t="b">
        <v>0</v>
      </c>
      <c r="F1109" s="80" t="b">
        <v>0</v>
      </c>
      <c r="G1109" s="80" t="b">
        <v>0</v>
      </c>
    </row>
    <row r="1110" spans="1:7" ht="15">
      <c r="A1110" s="81" t="s">
        <v>3313</v>
      </c>
      <c r="B1110" s="80">
        <v>2</v>
      </c>
      <c r="C1110" s="104">
        <v>0.00040173028372176515</v>
      </c>
      <c r="D1110" s="80" t="s">
        <v>3370</v>
      </c>
      <c r="E1110" s="80" t="b">
        <v>0</v>
      </c>
      <c r="F1110" s="80" t="b">
        <v>0</v>
      </c>
      <c r="G1110" s="80" t="b">
        <v>0</v>
      </c>
    </row>
    <row r="1111" spans="1:7" ht="15">
      <c r="A1111" s="81" t="s">
        <v>3314</v>
      </c>
      <c r="B1111" s="80">
        <v>2</v>
      </c>
      <c r="C1111" s="104">
        <v>0.00047366098758412623</v>
      </c>
      <c r="D1111" s="80" t="s">
        <v>3370</v>
      </c>
      <c r="E1111" s="80" t="b">
        <v>0</v>
      </c>
      <c r="F1111" s="80" t="b">
        <v>0</v>
      </c>
      <c r="G1111" s="80" t="b">
        <v>0</v>
      </c>
    </row>
    <row r="1112" spans="1:7" ht="15">
      <c r="A1112" s="81" t="s">
        <v>3315</v>
      </c>
      <c r="B1112" s="80">
        <v>2</v>
      </c>
      <c r="C1112" s="104">
        <v>0.00040173028372176515</v>
      </c>
      <c r="D1112" s="80" t="s">
        <v>3370</v>
      </c>
      <c r="E1112" s="80" t="b">
        <v>0</v>
      </c>
      <c r="F1112" s="80" t="b">
        <v>0</v>
      </c>
      <c r="G1112" s="80" t="b">
        <v>0</v>
      </c>
    </row>
    <row r="1113" spans="1:7" ht="15">
      <c r="A1113" s="81" t="s">
        <v>3316</v>
      </c>
      <c r="B1113" s="80">
        <v>2</v>
      </c>
      <c r="C1113" s="104">
        <v>0.00047366098758412623</v>
      </c>
      <c r="D1113" s="80" t="s">
        <v>3370</v>
      </c>
      <c r="E1113" s="80" t="b">
        <v>0</v>
      </c>
      <c r="F1113" s="80" t="b">
        <v>0</v>
      </c>
      <c r="G1113" s="80" t="b">
        <v>0</v>
      </c>
    </row>
    <row r="1114" spans="1:7" ht="15">
      <c r="A1114" s="81" t="s">
        <v>3317</v>
      </c>
      <c r="B1114" s="80">
        <v>2</v>
      </c>
      <c r="C1114" s="104">
        <v>0.00040173028372176515</v>
      </c>
      <c r="D1114" s="80" t="s">
        <v>3370</v>
      </c>
      <c r="E1114" s="80" t="b">
        <v>0</v>
      </c>
      <c r="F1114" s="80" t="b">
        <v>0</v>
      </c>
      <c r="G1114" s="80" t="b">
        <v>0</v>
      </c>
    </row>
    <row r="1115" spans="1:7" ht="15">
      <c r="A1115" s="81" t="s">
        <v>3318</v>
      </c>
      <c r="B1115" s="80">
        <v>2</v>
      </c>
      <c r="C1115" s="104">
        <v>0.00040173028372176515</v>
      </c>
      <c r="D1115" s="80" t="s">
        <v>3370</v>
      </c>
      <c r="E1115" s="80" t="b">
        <v>0</v>
      </c>
      <c r="F1115" s="80" t="b">
        <v>0</v>
      </c>
      <c r="G1115" s="80" t="b">
        <v>0</v>
      </c>
    </row>
    <row r="1116" spans="1:7" ht="15">
      <c r="A1116" s="81" t="s">
        <v>3319</v>
      </c>
      <c r="B1116" s="80">
        <v>2</v>
      </c>
      <c r="C1116" s="104">
        <v>0.00047366098758412623</v>
      </c>
      <c r="D1116" s="80" t="s">
        <v>3370</v>
      </c>
      <c r="E1116" s="80" t="b">
        <v>0</v>
      </c>
      <c r="F1116" s="80" t="b">
        <v>0</v>
      </c>
      <c r="G1116" s="80" t="b">
        <v>0</v>
      </c>
    </row>
    <row r="1117" spans="1:7" ht="15">
      <c r="A1117" s="81" t="s">
        <v>3320</v>
      </c>
      <c r="B1117" s="80">
        <v>2</v>
      </c>
      <c r="C1117" s="104">
        <v>0.00040173028372176515</v>
      </c>
      <c r="D1117" s="80" t="s">
        <v>3370</v>
      </c>
      <c r="E1117" s="80" t="b">
        <v>0</v>
      </c>
      <c r="F1117" s="80" t="b">
        <v>0</v>
      </c>
      <c r="G1117" s="80" t="b">
        <v>0</v>
      </c>
    </row>
    <row r="1118" spans="1:7" ht="15">
      <c r="A1118" s="81" t="s">
        <v>3321</v>
      </c>
      <c r="B1118" s="80">
        <v>2</v>
      </c>
      <c r="C1118" s="104">
        <v>0.00047366098758412623</v>
      </c>
      <c r="D1118" s="80" t="s">
        <v>3370</v>
      </c>
      <c r="E1118" s="80" t="b">
        <v>0</v>
      </c>
      <c r="F1118" s="80" t="b">
        <v>0</v>
      </c>
      <c r="G1118" s="80" t="b">
        <v>0</v>
      </c>
    </row>
    <row r="1119" spans="1:7" ht="15">
      <c r="A1119" s="81" t="s">
        <v>3322</v>
      </c>
      <c r="B1119" s="80">
        <v>2</v>
      </c>
      <c r="C1119" s="104">
        <v>0.00047366098758412623</v>
      </c>
      <c r="D1119" s="80" t="s">
        <v>3370</v>
      </c>
      <c r="E1119" s="80" t="b">
        <v>0</v>
      </c>
      <c r="F1119" s="80" t="b">
        <v>0</v>
      </c>
      <c r="G1119" s="80" t="b">
        <v>0</v>
      </c>
    </row>
    <row r="1120" spans="1:7" ht="15">
      <c r="A1120" s="81" t="s">
        <v>3323</v>
      </c>
      <c r="B1120" s="80">
        <v>2</v>
      </c>
      <c r="C1120" s="104">
        <v>0.00040173028372176515</v>
      </c>
      <c r="D1120" s="80" t="s">
        <v>3370</v>
      </c>
      <c r="E1120" s="80" t="b">
        <v>0</v>
      </c>
      <c r="F1120" s="80" t="b">
        <v>0</v>
      </c>
      <c r="G1120" s="80" t="b">
        <v>0</v>
      </c>
    </row>
    <row r="1121" spans="1:7" ht="15">
      <c r="A1121" s="81" t="s">
        <v>3324</v>
      </c>
      <c r="B1121" s="80">
        <v>2</v>
      </c>
      <c r="C1121" s="104">
        <v>0.00047366098758412623</v>
      </c>
      <c r="D1121" s="80" t="s">
        <v>3370</v>
      </c>
      <c r="E1121" s="80" t="b">
        <v>0</v>
      </c>
      <c r="F1121" s="80" t="b">
        <v>0</v>
      </c>
      <c r="G1121" s="80" t="b">
        <v>0</v>
      </c>
    </row>
    <row r="1122" spans="1:7" ht="15">
      <c r="A1122" s="81" t="s">
        <v>3325</v>
      </c>
      <c r="B1122" s="80">
        <v>2</v>
      </c>
      <c r="C1122" s="104">
        <v>0.00040173028372176515</v>
      </c>
      <c r="D1122" s="80" t="s">
        <v>3370</v>
      </c>
      <c r="E1122" s="80" t="b">
        <v>0</v>
      </c>
      <c r="F1122" s="80" t="b">
        <v>0</v>
      </c>
      <c r="G1122" s="80" t="b">
        <v>0</v>
      </c>
    </row>
    <row r="1123" spans="1:7" ht="15">
      <c r="A1123" s="81" t="s">
        <v>3326</v>
      </c>
      <c r="B1123" s="80">
        <v>2</v>
      </c>
      <c r="C1123" s="104">
        <v>0.00047366098758412623</v>
      </c>
      <c r="D1123" s="80" t="s">
        <v>3370</v>
      </c>
      <c r="E1123" s="80" t="b">
        <v>0</v>
      </c>
      <c r="F1123" s="80" t="b">
        <v>0</v>
      </c>
      <c r="G1123" s="80" t="b">
        <v>0</v>
      </c>
    </row>
    <row r="1124" spans="1:7" ht="15">
      <c r="A1124" s="81" t="s">
        <v>3327</v>
      </c>
      <c r="B1124" s="80">
        <v>2</v>
      </c>
      <c r="C1124" s="104">
        <v>0.00047366098758412623</v>
      </c>
      <c r="D1124" s="80" t="s">
        <v>3370</v>
      </c>
      <c r="E1124" s="80" t="b">
        <v>0</v>
      </c>
      <c r="F1124" s="80" t="b">
        <v>0</v>
      </c>
      <c r="G1124" s="80" t="b">
        <v>0</v>
      </c>
    </row>
    <row r="1125" spans="1:7" ht="15">
      <c r="A1125" s="81" t="s">
        <v>3328</v>
      </c>
      <c r="B1125" s="80">
        <v>2</v>
      </c>
      <c r="C1125" s="104">
        <v>0.00040173028372176515</v>
      </c>
      <c r="D1125" s="80" t="s">
        <v>3370</v>
      </c>
      <c r="E1125" s="80" t="b">
        <v>0</v>
      </c>
      <c r="F1125" s="80" t="b">
        <v>0</v>
      </c>
      <c r="G1125" s="80" t="b">
        <v>0</v>
      </c>
    </row>
    <row r="1126" spans="1:7" ht="15">
      <c r="A1126" s="81" t="s">
        <v>3329</v>
      </c>
      <c r="B1126" s="80">
        <v>2</v>
      </c>
      <c r="C1126" s="104">
        <v>0.00047366098758412623</v>
      </c>
      <c r="D1126" s="80" t="s">
        <v>3370</v>
      </c>
      <c r="E1126" s="80" t="b">
        <v>0</v>
      </c>
      <c r="F1126" s="80" t="b">
        <v>0</v>
      </c>
      <c r="G1126" s="80" t="b">
        <v>0</v>
      </c>
    </row>
    <row r="1127" spans="1:7" ht="15">
      <c r="A1127" s="81" t="s">
        <v>3330</v>
      </c>
      <c r="B1127" s="80">
        <v>2</v>
      </c>
      <c r="C1127" s="104">
        <v>0.00047366098758412623</v>
      </c>
      <c r="D1127" s="80" t="s">
        <v>3370</v>
      </c>
      <c r="E1127" s="80" t="b">
        <v>0</v>
      </c>
      <c r="F1127" s="80" t="b">
        <v>0</v>
      </c>
      <c r="G1127" s="80" t="b">
        <v>0</v>
      </c>
    </row>
    <row r="1128" spans="1:7" ht="15">
      <c r="A1128" s="81" t="s">
        <v>3331</v>
      </c>
      <c r="B1128" s="80">
        <v>2</v>
      </c>
      <c r="C1128" s="104">
        <v>0.00040173028372176515</v>
      </c>
      <c r="D1128" s="80" t="s">
        <v>3370</v>
      </c>
      <c r="E1128" s="80" t="b">
        <v>0</v>
      </c>
      <c r="F1128" s="80" t="b">
        <v>0</v>
      </c>
      <c r="G1128" s="80" t="b">
        <v>0</v>
      </c>
    </row>
    <row r="1129" spans="1:7" ht="15">
      <c r="A1129" s="81" t="s">
        <v>3332</v>
      </c>
      <c r="B1129" s="80">
        <v>2</v>
      </c>
      <c r="C1129" s="104">
        <v>0.00047366098758412623</v>
      </c>
      <c r="D1129" s="80" t="s">
        <v>3370</v>
      </c>
      <c r="E1129" s="80" t="b">
        <v>0</v>
      </c>
      <c r="F1129" s="80" t="b">
        <v>0</v>
      </c>
      <c r="G1129" s="80" t="b">
        <v>0</v>
      </c>
    </row>
    <row r="1130" spans="1:7" ht="15">
      <c r="A1130" s="81" t="s">
        <v>3333</v>
      </c>
      <c r="B1130" s="80">
        <v>2</v>
      </c>
      <c r="C1130" s="104">
        <v>0.00047366098758412623</v>
      </c>
      <c r="D1130" s="80" t="s">
        <v>3370</v>
      </c>
      <c r="E1130" s="80" t="b">
        <v>0</v>
      </c>
      <c r="F1130" s="80" t="b">
        <v>0</v>
      </c>
      <c r="G1130" s="80" t="b">
        <v>0</v>
      </c>
    </row>
    <row r="1131" spans="1:7" ht="15">
      <c r="A1131" s="81" t="s">
        <v>3334</v>
      </c>
      <c r="B1131" s="80">
        <v>2</v>
      </c>
      <c r="C1131" s="104">
        <v>0.00040173028372176515</v>
      </c>
      <c r="D1131" s="80" t="s">
        <v>3370</v>
      </c>
      <c r="E1131" s="80" t="b">
        <v>0</v>
      </c>
      <c r="F1131" s="80" t="b">
        <v>0</v>
      </c>
      <c r="G1131" s="80" t="b">
        <v>0</v>
      </c>
    </row>
    <row r="1132" spans="1:7" ht="15">
      <c r="A1132" s="81" t="s">
        <v>3335</v>
      </c>
      <c r="B1132" s="80">
        <v>2</v>
      </c>
      <c r="C1132" s="104">
        <v>0.00040173028372176515</v>
      </c>
      <c r="D1132" s="80" t="s">
        <v>3370</v>
      </c>
      <c r="E1132" s="80" t="b">
        <v>0</v>
      </c>
      <c r="F1132" s="80" t="b">
        <v>0</v>
      </c>
      <c r="G1132" s="80" t="b">
        <v>0</v>
      </c>
    </row>
    <row r="1133" spans="1:7" ht="15">
      <c r="A1133" s="81" t="s">
        <v>3336</v>
      </c>
      <c r="B1133" s="80">
        <v>2</v>
      </c>
      <c r="C1133" s="104">
        <v>0.00047366098758412623</v>
      </c>
      <c r="D1133" s="80" t="s">
        <v>3370</v>
      </c>
      <c r="E1133" s="80" t="b">
        <v>0</v>
      </c>
      <c r="F1133" s="80" t="b">
        <v>0</v>
      </c>
      <c r="G1133" s="80" t="b">
        <v>0</v>
      </c>
    </row>
    <row r="1134" spans="1:7" ht="15">
      <c r="A1134" s="81" t="s">
        <v>3337</v>
      </c>
      <c r="B1134" s="80">
        <v>2</v>
      </c>
      <c r="C1134" s="104">
        <v>0.00040173028372176515</v>
      </c>
      <c r="D1134" s="80" t="s">
        <v>3370</v>
      </c>
      <c r="E1134" s="80" t="b">
        <v>0</v>
      </c>
      <c r="F1134" s="80" t="b">
        <v>0</v>
      </c>
      <c r="G1134" s="80" t="b">
        <v>0</v>
      </c>
    </row>
    <row r="1135" spans="1:7" ht="15">
      <c r="A1135" s="81" t="s">
        <v>3338</v>
      </c>
      <c r="B1135" s="80">
        <v>2</v>
      </c>
      <c r="C1135" s="104">
        <v>0.00040173028372176515</v>
      </c>
      <c r="D1135" s="80" t="s">
        <v>3370</v>
      </c>
      <c r="E1135" s="80" t="b">
        <v>0</v>
      </c>
      <c r="F1135" s="80" t="b">
        <v>0</v>
      </c>
      <c r="G1135" s="80" t="b">
        <v>0</v>
      </c>
    </row>
    <row r="1136" spans="1:7" ht="15">
      <c r="A1136" s="81" t="s">
        <v>3339</v>
      </c>
      <c r="B1136" s="80">
        <v>2</v>
      </c>
      <c r="C1136" s="104">
        <v>0.00040173028372176515</v>
      </c>
      <c r="D1136" s="80" t="s">
        <v>3370</v>
      </c>
      <c r="E1136" s="80" t="b">
        <v>0</v>
      </c>
      <c r="F1136" s="80" t="b">
        <v>0</v>
      </c>
      <c r="G1136" s="80" t="b">
        <v>0</v>
      </c>
    </row>
    <row r="1137" spans="1:7" ht="15">
      <c r="A1137" s="81" t="s">
        <v>3340</v>
      </c>
      <c r="B1137" s="80">
        <v>2</v>
      </c>
      <c r="C1137" s="104">
        <v>0.00047366098758412623</v>
      </c>
      <c r="D1137" s="80" t="s">
        <v>3370</v>
      </c>
      <c r="E1137" s="80" t="b">
        <v>0</v>
      </c>
      <c r="F1137" s="80" t="b">
        <v>0</v>
      </c>
      <c r="G1137" s="80" t="b">
        <v>0</v>
      </c>
    </row>
    <row r="1138" spans="1:7" ht="15">
      <c r="A1138" s="81" t="s">
        <v>3341</v>
      </c>
      <c r="B1138" s="80">
        <v>2</v>
      </c>
      <c r="C1138" s="104">
        <v>0.00047366098758412623</v>
      </c>
      <c r="D1138" s="80" t="s">
        <v>3370</v>
      </c>
      <c r="E1138" s="80" t="b">
        <v>0</v>
      </c>
      <c r="F1138" s="80" t="b">
        <v>0</v>
      </c>
      <c r="G1138" s="80" t="b">
        <v>0</v>
      </c>
    </row>
    <row r="1139" spans="1:7" ht="15">
      <c r="A1139" s="81" t="s">
        <v>3342</v>
      </c>
      <c r="B1139" s="80">
        <v>2</v>
      </c>
      <c r="C1139" s="104">
        <v>0.00040173028372176515</v>
      </c>
      <c r="D1139" s="80" t="s">
        <v>3370</v>
      </c>
      <c r="E1139" s="80" t="b">
        <v>0</v>
      </c>
      <c r="F1139" s="80" t="b">
        <v>0</v>
      </c>
      <c r="G1139" s="80" t="b">
        <v>0</v>
      </c>
    </row>
    <row r="1140" spans="1:7" ht="15">
      <c r="A1140" s="81" t="s">
        <v>3343</v>
      </c>
      <c r="B1140" s="80">
        <v>2</v>
      </c>
      <c r="C1140" s="104">
        <v>0.00040173028372176515</v>
      </c>
      <c r="D1140" s="80" t="s">
        <v>3370</v>
      </c>
      <c r="E1140" s="80" t="b">
        <v>0</v>
      </c>
      <c r="F1140" s="80" t="b">
        <v>0</v>
      </c>
      <c r="G1140" s="80" t="b">
        <v>0</v>
      </c>
    </row>
    <row r="1141" spans="1:7" ht="15">
      <c r="A1141" s="81" t="s">
        <v>3344</v>
      </c>
      <c r="B1141" s="80">
        <v>2</v>
      </c>
      <c r="C1141" s="104">
        <v>0.00047366098758412623</v>
      </c>
      <c r="D1141" s="80" t="s">
        <v>3370</v>
      </c>
      <c r="E1141" s="80" t="b">
        <v>0</v>
      </c>
      <c r="F1141" s="80" t="b">
        <v>0</v>
      </c>
      <c r="G1141" s="80" t="b">
        <v>0</v>
      </c>
    </row>
    <row r="1142" spans="1:7" ht="15">
      <c r="A1142" s="81" t="s">
        <v>3345</v>
      </c>
      <c r="B1142" s="80">
        <v>2</v>
      </c>
      <c r="C1142" s="104">
        <v>0.00040173028372176515</v>
      </c>
      <c r="D1142" s="80" t="s">
        <v>3370</v>
      </c>
      <c r="E1142" s="80" t="b">
        <v>0</v>
      </c>
      <c r="F1142" s="80" t="b">
        <v>0</v>
      </c>
      <c r="G1142" s="80" t="b">
        <v>0</v>
      </c>
    </row>
    <row r="1143" spans="1:7" ht="15">
      <c r="A1143" s="81" t="s">
        <v>3346</v>
      </c>
      <c r="B1143" s="80">
        <v>2</v>
      </c>
      <c r="C1143" s="104">
        <v>0.00040173028372176515</v>
      </c>
      <c r="D1143" s="80" t="s">
        <v>3370</v>
      </c>
      <c r="E1143" s="80" t="b">
        <v>0</v>
      </c>
      <c r="F1143" s="80" t="b">
        <v>0</v>
      </c>
      <c r="G1143" s="80" t="b">
        <v>0</v>
      </c>
    </row>
    <row r="1144" spans="1:7" ht="15">
      <c r="A1144" s="81" t="s">
        <v>3347</v>
      </c>
      <c r="B1144" s="80">
        <v>2</v>
      </c>
      <c r="C1144" s="104">
        <v>0.00040173028372176515</v>
      </c>
      <c r="D1144" s="80" t="s">
        <v>3370</v>
      </c>
      <c r="E1144" s="80" t="b">
        <v>0</v>
      </c>
      <c r="F1144" s="80" t="b">
        <v>0</v>
      </c>
      <c r="G1144" s="80" t="b">
        <v>0</v>
      </c>
    </row>
    <row r="1145" spans="1:7" ht="15">
      <c r="A1145" s="81" t="s">
        <v>3348</v>
      </c>
      <c r="B1145" s="80">
        <v>2</v>
      </c>
      <c r="C1145" s="104">
        <v>0.00047366098758412623</v>
      </c>
      <c r="D1145" s="80" t="s">
        <v>3370</v>
      </c>
      <c r="E1145" s="80" t="b">
        <v>0</v>
      </c>
      <c r="F1145" s="80" t="b">
        <v>0</v>
      </c>
      <c r="G1145" s="80" t="b">
        <v>0</v>
      </c>
    </row>
    <row r="1146" spans="1:7" ht="15">
      <c r="A1146" s="81" t="s">
        <v>3349</v>
      </c>
      <c r="B1146" s="80">
        <v>2</v>
      </c>
      <c r="C1146" s="104">
        <v>0.00040173028372176515</v>
      </c>
      <c r="D1146" s="80" t="s">
        <v>3370</v>
      </c>
      <c r="E1146" s="80" t="b">
        <v>0</v>
      </c>
      <c r="F1146" s="80" t="b">
        <v>0</v>
      </c>
      <c r="G1146" s="80" t="b">
        <v>0</v>
      </c>
    </row>
    <row r="1147" spans="1:7" ht="15">
      <c r="A1147" s="81" t="s">
        <v>3350</v>
      </c>
      <c r="B1147" s="80">
        <v>2</v>
      </c>
      <c r="C1147" s="104">
        <v>0.00040173028372176515</v>
      </c>
      <c r="D1147" s="80" t="s">
        <v>3370</v>
      </c>
      <c r="E1147" s="80" t="b">
        <v>0</v>
      </c>
      <c r="F1147" s="80" t="b">
        <v>0</v>
      </c>
      <c r="G1147" s="80" t="b">
        <v>0</v>
      </c>
    </row>
    <row r="1148" spans="1:7" ht="15">
      <c r="A1148" s="81" t="s">
        <v>3351</v>
      </c>
      <c r="B1148" s="80">
        <v>2</v>
      </c>
      <c r="C1148" s="104">
        <v>0.00040173028372176515</v>
      </c>
      <c r="D1148" s="80" t="s">
        <v>3370</v>
      </c>
      <c r="E1148" s="80" t="b">
        <v>0</v>
      </c>
      <c r="F1148" s="80" t="b">
        <v>0</v>
      </c>
      <c r="G1148" s="80" t="b">
        <v>0</v>
      </c>
    </row>
    <row r="1149" spans="1:7" ht="15">
      <c r="A1149" s="81" t="s">
        <v>3352</v>
      </c>
      <c r="B1149" s="80">
        <v>2</v>
      </c>
      <c r="C1149" s="104">
        <v>0.00040173028372176515</v>
      </c>
      <c r="D1149" s="80" t="s">
        <v>3370</v>
      </c>
      <c r="E1149" s="80" t="b">
        <v>0</v>
      </c>
      <c r="F1149" s="80" t="b">
        <v>0</v>
      </c>
      <c r="G1149" s="80" t="b">
        <v>0</v>
      </c>
    </row>
    <row r="1150" spans="1:7" ht="15">
      <c r="A1150" s="81" t="s">
        <v>3353</v>
      </c>
      <c r="B1150" s="80">
        <v>2</v>
      </c>
      <c r="C1150" s="104">
        <v>0.00047366098758412623</v>
      </c>
      <c r="D1150" s="80" t="s">
        <v>3370</v>
      </c>
      <c r="E1150" s="80" t="b">
        <v>0</v>
      </c>
      <c r="F1150" s="80" t="b">
        <v>0</v>
      </c>
      <c r="G1150" s="80" t="b">
        <v>0</v>
      </c>
    </row>
    <row r="1151" spans="1:7" ht="15">
      <c r="A1151" s="81" t="s">
        <v>3354</v>
      </c>
      <c r="B1151" s="80">
        <v>2</v>
      </c>
      <c r="C1151" s="104">
        <v>0.00040173028372176515</v>
      </c>
      <c r="D1151" s="80" t="s">
        <v>3370</v>
      </c>
      <c r="E1151" s="80" t="b">
        <v>0</v>
      </c>
      <c r="F1151" s="80" t="b">
        <v>0</v>
      </c>
      <c r="G1151" s="80" t="b">
        <v>0</v>
      </c>
    </row>
    <row r="1152" spans="1:7" ht="15">
      <c r="A1152" s="81" t="s">
        <v>3355</v>
      </c>
      <c r="B1152" s="80">
        <v>2</v>
      </c>
      <c r="C1152" s="104">
        <v>0.00040173028372176515</v>
      </c>
      <c r="D1152" s="80" t="s">
        <v>3370</v>
      </c>
      <c r="E1152" s="80" t="b">
        <v>1</v>
      </c>
      <c r="F1152" s="80" t="b">
        <v>0</v>
      </c>
      <c r="G1152" s="80" t="b">
        <v>0</v>
      </c>
    </row>
    <row r="1153" spans="1:7" ht="15">
      <c r="A1153" s="81" t="s">
        <v>3356</v>
      </c>
      <c r="B1153" s="80">
        <v>2</v>
      </c>
      <c r="C1153" s="104">
        <v>0.00047366098758412623</v>
      </c>
      <c r="D1153" s="80" t="s">
        <v>3370</v>
      </c>
      <c r="E1153" s="80" t="b">
        <v>0</v>
      </c>
      <c r="F1153" s="80" t="b">
        <v>0</v>
      </c>
      <c r="G1153" s="80" t="b">
        <v>0</v>
      </c>
    </row>
    <row r="1154" spans="1:7" ht="15">
      <c r="A1154" s="81" t="s">
        <v>3357</v>
      </c>
      <c r="B1154" s="80">
        <v>2</v>
      </c>
      <c r="C1154" s="104">
        <v>0.00040173028372176515</v>
      </c>
      <c r="D1154" s="80" t="s">
        <v>3370</v>
      </c>
      <c r="E1154" s="80" t="b">
        <v>0</v>
      </c>
      <c r="F1154" s="80" t="b">
        <v>0</v>
      </c>
      <c r="G1154" s="80" t="b">
        <v>0</v>
      </c>
    </row>
    <row r="1155" spans="1:7" ht="15">
      <c r="A1155" s="81" t="s">
        <v>3358</v>
      </c>
      <c r="B1155" s="80">
        <v>2</v>
      </c>
      <c r="C1155" s="104">
        <v>0.00040173028372176515</v>
      </c>
      <c r="D1155" s="80" t="s">
        <v>3370</v>
      </c>
      <c r="E1155" s="80" t="b">
        <v>0</v>
      </c>
      <c r="F1155" s="80" t="b">
        <v>0</v>
      </c>
      <c r="G1155" s="80" t="b">
        <v>0</v>
      </c>
    </row>
    <row r="1156" spans="1:7" ht="15">
      <c r="A1156" s="81" t="s">
        <v>3359</v>
      </c>
      <c r="B1156" s="80">
        <v>2</v>
      </c>
      <c r="C1156" s="104">
        <v>0.00040173028372176515</v>
      </c>
      <c r="D1156" s="80" t="s">
        <v>3370</v>
      </c>
      <c r="E1156" s="80" t="b">
        <v>0</v>
      </c>
      <c r="F1156" s="80" t="b">
        <v>0</v>
      </c>
      <c r="G1156" s="80" t="b">
        <v>0</v>
      </c>
    </row>
    <row r="1157" spans="1:7" ht="15">
      <c r="A1157" s="81" t="s">
        <v>3360</v>
      </c>
      <c r="B1157" s="80">
        <v>2</v>
      </c>
      <c r="C1157" s="104">
        <v>0.00040173028372176515</v>
      </c>
      <c r="D1157" s="80" t="s">
        <v>3370</v>
      </c>
      <c r="E1157" s="80" t="b">
        <v>0</v>
      </c>
      <c r="F1157" s="80" t="b">
        <v>0</v>
      </c>
      <c r="G1157" s="80" t="b">
        <v>0</v>
      </c>
    </row>
    <row r="1158" spans="1:7" ht="15">
      <c r="A1158" s="81" t="s">
        <v>3361</v>
      </c>
      <c r="B1158" s="80">
        <v>2</v>
      </c>
      <c r="C1158" s="104">
        <v>0.00047366098758412623</v>
      </c>
      <c r="D1158" s="80" t="s">
        <v>3370</v>
      </c>
      <c r="E1158" s="80" t="b">
        <v>0</v>
      </c>
      <c r="F1158" s="80" t="b">
        <v>0</v>
      </c>
      <c r="G1158" s="80" t="b">
        <v>0</v>
      </c>
    </row>
    <row r="1159" spans="1:7" ht="15">
      <c r="A1159" s="81" t="s">
        <v>3362</v>
      </c>
      <c r="B1159" s="80">
        <v>2</v>
      </c>
      <c r="C1159" s="104">
        <v>0.00040173028372176515</v>
      </c>
      <c r="D1159" s="80" t="s">
        <v>3370</v>
      </c>
      <c r="E1159" s="80" t="b">
        <v>0</v>
      </c>
      <c r="F1159" s="80" t="b">
        <v>0</v>
      </c>
      <c r="G1159" s="80" t="b">
        <v>0</v>
      </c>
    </row>
    <row r="1160" spans="1:7" ht="15">
      <c r="A1160" s="81" t="s">
        <v>3363</v>
      </c>
      <c r="B1160" s="80">
        <v>2</v>
      </c>
      <c r="C1160" s="104">
        <v>0.00040173028372176515</v>
      </c>
      <c r="D1160" s="80" t="s">
        <v>3370</v>
      </c>
      <c r="E1160" s="80" t="b">
        <v>0</v>
      </c>
      <c r="F1160" s="80" t="b">
        <v>0</v>
      </c>
      <c r="G1160" s="80" t="b">
        <v>0</v>
      </c>
    </row>
    <row r="1161" spans="1:7" ht="15">
      <c r="A1161" s="81" t="s">
        <v>3364</v>
      </c>
      <c r="B1161" s="80">
        <v>2</v>
      </c>
      <c r="C1161" s="104">
        <v>0.00040173028372176515</v>
      </c>
      <c r="D1161" s="80" t="s">
        <v>3370</v>
      </c>
      <c r="E1161" s="80" t="b">
        <v>0</v>
      </c>
      <c r="F1161" s="80" t="b">
        <v>0</v>
      </c>
      <c r="G1161" s="80" t="b">
        <v>0</v>
      </c>
    </row>
    <row r="1162" spans="1:7" ht="15">
      <c r="A1162" s="81" t="s">
        <v>2215</v>
      </c>
      <c r="B1162" s="80">
        <v>40</v>
      </c>
      <c r="C1162" s="104">
        <v>0.0033248851075685106</v>
      </c>
      <c r="D1162" s="80" t="s">
        <v>2184</v>
      </c>
      <c r="E1162" s="80" t="b">
        <v>0</v>
      </c>
      <c r="F1162" s="80" t="b">
        <v>0</v>
      </c>
      <c r="G1162" s="80" t="b">
        <v>0</v>
      </c>
    </row>
    <row r="1163" spans="1:7" ht="15">
      <c r="A1163" s="81" t="s">
        <v>2216</v>
      </c>
      <c r="B1163" s="80">
        <v>27</v>
      </c>
      <c r="C1163" s="104">
        <v>0.0038054142540250237</v>
      </c>
      <c r="D1163" s="80" t="s">
        <v>2184</v>
      </c>
      <c r="E1163" s="80" t="b">
        <v>0</v>
      </c>
      <c r="F1163" s="80" t="b">
        <v>0</v>
      </c>
      <c r="G1163" s="80" t="b">
        <v>0</v>
      </c>
    </row>
    <row r="1164" spans="1:7" ht="15">
      <c r="A1164" s="81" t="s">
        <v>2213</v>
      </c>
      <c r="B1164" s="80">
        <v>23</v>
      </c>
      <c r="C1164" s="104">
        <v>0.0011061688829703711</v>
      </c>
      <c r="D1164" s="80" t="s">
        <v>2184</v>
      </c>
      <c r="E1164" s="80" t="b">
        <v>0</v>
      </c>
      <c r="F1164" s="80" t="b">
        <v>0</v>
      </c>
      <c r="G1164" s="80" t="b">
        <v>0</v>
      </c>
    </row>
    <row r="1165" spans="1:7" ht="15">
      <c r="A1165" s="81" t="s">
        <v>2219</v>
      </c>
      <c r="B1165" s="80">
        <v>22</v>
      </c>
      <c r="C1165" s="104">
        <v>0.00389282437583319</v>
      </c>
      <c r="D1165" s="80" t="s">
        <v>2184</v>
      </c>
      <c r="E1165" s="80" t="b">
        <v>0</v>
      </c>
      <c r="F1165" s="80" t="b">
        <v>0</v>
      </c>
      <c r="G1165" s="80" t="b">
        <v>0</v>
      </c>
    </row>
    <row r="1166" spans="1:7" ht="15">
      <c r="A1166" s="81" t="s">
        <v>2229</v>
      </c>
      <c r="B1166" s="80">
        <v>21</v>
      </c>
      <c r="C1166" s="104">
        <v>0.0072845509136756316</v>
      </c>
      <c r="D1166" s="80" t="s">
        <v>2184</v>
      </c>
      <c r="E1166" s="80" t="b">
        <v>0</v>
      </c>
      <c r="F1166" s="80" t="b">
        <v>0</v>
      </c>
      <c r="G1166" s="80" t="b">
        <v>0</v>
      </c>
    </row>
    <row r="1167" spans="1:7" ht="15">
      <c r="A1167" s="81" t="s">
        <v>2231</v>
      </c>
      <c r="B1167" s="80">
        <v>20</v>
      </c>
      <c r="C1167" s="104">
        <v>0.004911662746204407</v>
      </c>
      <c r="D1167" s="80" t="s">
        <v>2184</v>
      </c>
      <c r="E1167" s="80" t="b">
        <v>0</v>
      </c>
      <c r="F1167" s="80" t="b">
        <v>0</v>
      </c>
      <c r="G1167" s="80" t="b">
        <v>0</v>
      </c>
    </row>
    <row r="1168" spans="1:7" ht="15">
      <c r="A1168" s="81" t="s">
        <v>2214</v>
      </c>
      <c r="B1168" s="80">
        <v>20</v>
      </c>
      <c r="C1168" s="104">
        <v>0.0016624425537842553</v>
      </c>
      <c r="D1168" s="80" t="s">
        <v>2184</v>
      </c>
      <c r="E1168" s="80" t="b">
        <v>0</v>
      </c>
      <c r="F1168" s="80" t="b">
        <v>0</v>
      </c>
      <c r="G1168" s="80" t="b">
        <v>0</v>
      </c>
    </row>
    <row r="1169" spans="1:7" ht="15">
      <c r="A1169" s="81" t="s">
        <v>2221</v>
      </c>
      <c r="B1169" s="80">
        <v>20</v>
      </c>
      <c r="C1169" s="104">
        <v>0.001923771970383254</v>
      </c>
      <c r="D1169" s="80" t="s">
        <v>2184</v>
      </c>
      <c r="E1169" s="80" t="b">
        <v>0</v>
      </c>
      <c r="F1169" s="80" t="b">
        <v>0</v>
      </c>
      <c r="G1169" s="80" t="b">
        <v>0</v>
      </c>
    </row>
    <row r="1170" spans="1:7" ht="15">
      <c r="A1170" s="81" t="s">
        <v>2245</v>
      </c>
      <c r="B1170" s="80">
        <v>20</v>
      </c>
      <c r="C1170" s="104">
        <v>0.009139640237740696</v>
      </c>
      <c r="D1170" s="80" t="s">
        <v>2184</v>
      </c>
      <c r="E1170" s="80" t="b">
        <v>0</v>
      </c>
      <c r="F1170" s="80" t="b">
        <v>0</v>
      </c>
      <c r="G1170" s="80" t="b">
        <v>0</v>
      </c>
    </row>
    <row r="1171" spans="1:7" ht="15">
      <c r="A1171" s="81" t="s">
        <v>2224</v>
      </c>
      <c r="B1171" s="80">
        <v>19</v>
      </c>
      <c r="C1171" s="104">
        <v>0.0013452518946927541</v>
      </c>
      <c r="D1171" s="80" t="s">
        <v>2184</v>
      </c>
      <c r="E1171" s="80" t="b">
        <v>0</v>
      </c>
      <c r="F1171" s="80" t="b">
        <v>0</v>
      </c>
      <c r="G1171" s="80" t="b">
        <v>0</v>
      </c>
    </row>
    <row r="1172" spans="1:7" ht="15">
      <c r="A1172" s="81" t="s">
        <v>2222</v>
      </c>
      <c r="B1172" s="80">
        <v>19</v>
      </c>
      <c r="C1172" s="104">
        <v>0.0013452518946927541</v>
      </c>
      <c r="D1172" s="80" t="s">
        <v>2184</v>
      </c>
      <c r="E1172" s="80" t="b">
        <v>0</v>
      </c>
      <c r="F1172" s="80" t="b">
        <v>0</v>
      </c>
      <c r="G1172" s="80" t="b">
        <v>0</v>
      </c>
    </row>
    <row r="1173" spans="1:7" ht="15">
      <c r="A1173" s="81" t="s">
        <v>2225</v>
      </c>
      <c r="B1173" s="80">
        <v>18</v>
      </c>
      <c r="C1173" s="104">
        <v>0.0017313947733449285</v>
      </c>
      <c r="D1173" s="80" t="s">
        <v>2184</v>
      </c>
      <c r="E1173" s="80" t="b">
        <v>0</v>
      </c>
      <c r="F1173" s="80" t="b">
        <v>0</v>
      </c>
      <c r="G1173" s="80" t="b">
        <v>0</v>
      </c>
    </row>
    <row r="1174" spans="1:7" ht="15">
      <c r="A1174" s="81" t="s">
        <v>2217</v>
      </c>
      <c r="B1174" s="80">
        <v>16</v>
      </c>
      <c r="C1174" s="104">
        <v>0.0035231563214508208</v>
      </c>
      <c r="D1174" s="80" t="s">
        <v>2184</v>
      </c>
      <c r="E1174" s="80" t="b">
        <v>0</v>
      </c>
      <c r="F1174" s="80" t="b">
        <v>0</v>
      </c>
      <c r="G1174" s="80" t="b">
        <v>0</v>
      </c>
    </row>
    <row r="1175" spans="1:7" ht="15">
      <c r="A1175" s="81" t="s">
        <v>2226</v>
      </c>
      <c r="B1175" s="80">
        <v>15</v>
      </c>
      <c r="C1175" s="104">
        <v>0.0023728940145737927</v>
      </c>
      <c r="D1175" s="80" t="s">
        <v>2184</v>
      </c>
      <c r="E1175" s="80" t="b">
        <v>0</v>
      </c>
      <c r="F1175" s="80" t="b">
        <v>0</v>
      </c>
      <c r="G1175" s="80" t="b">
        <v>0</v>
      </c>
    </row>
    <row r="1176" spans="1:7" ht="15">
      <c r="A1176" s="81" t="s">
        <v>2246</v>
      </c>
      <c r="B1176" s="80">
        <v>14</v>
      </c>
      <c r="C1176" s="104">
        <v>0.0030827617812694682</v>
      </c>
      <c r="D1176" s="80" t="s">
        <v>2184</v>
      </c>
      <c r="E1176" s="80" t="b">
        <v>0</v>
      </c>
      <c r="F1176" s="80" t="b">
        <v>0</v>
      </c>
      <c r="G1176" s="80" t="b">
        <v>0</v>
      </c>
    </row>
    <row r="1177" spans="1:7" ht="15">
      <c r="A1177" s="81" t="s">
        <v>2218</v>
      </c>
      <c r="B1177" s="80">
        <v>13</v>
      </c>
      <c r="C1177" s="104">
        <v>0.0035667223784372954</v>
      </c>
      <c r="D1177" s="80" t="s">
        <v>2184</v>
      </c>
      <c r="E1177" s="80" t="b">
        <v>0</v>
      </c>
      <c r="F1177" s="80" t="b">
        <v>0</v>
      </c>
      <c r="G1177" s="80" t="b">
        <v>0</v>
      </c>
    </row>
    <row r="1178" spans="1:7" ht="15">
      <c r="A1178" s="81" t="s">
        <v>2239</v>
      </c>
      <c r="B1178" s="80">
        <v>13</v>
      </c>
      <c r="C1178" s="104">
        <v>0.004509483898942057</v>
      </c>
      <c r="D1178" s="80" t="s">
        <v>2184</v>
      </c>
      <c r="E1178" s="80" t="b">
        <v>0</v>
      </c>
      <c r="F1178" s="80" t="b">
        <v>0</v>
      </c>
      <c r="G1178" s="80" t="b">
        <v>0</v>
      </c>
    </row>
    <row r="1179" spans="1:7" ht="15">
      <c r="A1179" s="81" t="s">
        <v>2338</v>
      </c>
      <c r="B1179" s="80">
        <v>11</v>
      </c>
      <c r="C1179" s="104">
        <v>0.0076314342905173275</v>
      </c>
      <c r="D1179" s="80" t="s">
        <v>2184</v>
      </c>
      <c r="E1179" s="80" t="b">
        <v>0</v>
      </c>
      <c r="F1179" s="80" t="b">
        <v>0</v>
      </c>
      <c r="G1179" s="80" t="b">
        <v>0</v>
      </c>
    </row>
    <row r="1180" spans="1:7" ht="15">
      <c r="A1180" s="81" t="s">
        <v>2234</v>
      </c>
      <c r="B1180" s="80">
        <v>10</v>
      </c>
      <c r="C1180" s="104">
        <v>0.002201972700906763</v>
      </c>
      <c r="D1180" s="80" t="s">
        <v>2184</v>
      </c>
      <c r="E1180" s="80" t="b">
        <v>0</v>
      </c>
      <c r="F1180" s="80" t="b">
        <v>0</v>
      </c>
      <c r="G1180" s="80" t="b">
        <v>0</v>
      </c>
    </row>
    <row r="1181" spans="1:7" ht="15">
      <c r="A1181" s="81" t="s">
        <v>2256</v>
      </c>
      <c r="B1181" s="80">
        <v>10</v>
      </c>
      <c r="C1181" s="104">
        <v>0.002201972700906763</v>
      </c>
      <c r="D1181" s="80" t="s">
        <v>2184</v>
      </c>
      <c r="E1181" s="80" t="b">
        <v>0</v>
      </c>
      <c r="F1181" s="80" t="b">
        <v>0</v>
      </c>
      <c r="G1181" s="80" t="b">
        <v>0</v>
      </c>
    </row>
    <row r="1182" spans="1:7" ht="15">
      <c r="A1182" s="81" t="s">
        <v>2236</v>
      </c>
      <c r="B1182" s="80">
        <v>10</v>
      </c>
      <c r="C1182" s="104">
        <v>0.0030758747309597716</v>
      </c>
      <c r="D1182" s="80" t="s">
        <v>2184</v>
      </c>
      <c r="E1182" s="80" t="b">
        <v>0</v>
      </c>
      <c r="F1182" s="80" t="b">
        <v>0</v>
      </c>
      <c r="G1182" s="80" t="b">
        <v>0</v>
      </c>
    </row>
    <row r="1183" spans="1:7" ht="15">
      <c r="A1183" s="81" t="s">
        <v>2240</v>
      </c>
      <c r="B1183" s="80">
        <v>9</v>
      </c>
      <c r="C1183" s="104">
        <v>0.0019817754308160867</v>
      </c>
      <c r="D1183" s="80" t="s">
        <v>2184</v>
      </c>
      <c r="E1183" s="80" t="b">
        <v>0</v>
      </c>
      <c r="F1183" s="80" t="b">
        <v>0</v>
      </c>
      <c r="G1183" s="80" t="b">
        <v>0</v>
      </c>
    </row>
    <row r="1184" spans="1:7" ht="15">
      <c r="A1184" s="81" t="s">
        <v>2364</v>
      </c>
      <c r="B1184" s="80">
        <v>9</v>
      </c>
      <c r="C1184" s="104">
        <v>0.0041128381069833134</v>
      </c>
      <c r="D1184" s="80" t="s">
        <v>2184</v>
      </c>
      <c r="E1184" s="80" t="b">
        <v>0</v>
      </c>
      <c r="F1184" s="80" t="b">
        <v>0</v>
      </c>
      <c r="G1184" s="80" t="b">
        <v>0</v>
      </c>
    </row>
    <row r="1185" spans="1:7" ht="15">
      <c r="A1185" s="81" t="s">
        <v>2249</v>
      </c>
      <c r="B1185" s="80">
        <v>9</v>
      </c>
      <c r="C1185" s="104">
        <v>0.0024692693389181276</v>
      </c>
      <c r="D1185" s="80" t="s">
        <v>2184</v>
      </c>
      <c r="E1185" s="80" t="b">
        <v>0</v>
      </c>
      <c r="F1185" s="80" t="b">
        <v>0</v>
      </c>
      <c r="G1185" s="80" t="b">
        <v>0</v>
      </c>
    </row>
    <row r="1186" spans="1:7" ht="15">
      <c r="A1186" s="81" t="s">
        <v>2228</v>
      </c>
      <c r="B1186" s="80">
        <v>9</v>
      </c>
      <c r="C1186" s="104">
        <v>0.0035547990849115023</v>
      </c>
      <c r="D1186" s="80" t="s">
        <v>2184</v>
      </c>
      <c r="E1186" s="80" t="b">
        <v>0</v>
      </c>
      <c r="F1186" s="80" t="b">
        <v>0</v>
      </c>
      <c r="G1186" s="80" t="b">
        <v>0</v>
      </c>
    </row>
    <row r="1187" spans="1:7" ht="15">
      <c r="A1187" s="81" t="s">
        <v>2235</v>
      </c>
      <c r="B1187" s="80">
        <v>9</v>
      </c>
      <c r="C1187" s="104">
        <v>0.0024692693389181276</v>
      </c>
      <c r="D1187" s="80" t="s">
        <v>2184</v>
      </c>
      <c r="E1187" s="80" t="b">
        <v>0</v>
      </c>
      <c r="F1187" s="80" t="b">
        <v>0</v>
      </c>
      <c r="G1187" s="80" t="b">
        <v>0</v>
      </c>
    </row>
    <row r="1188" spans="1:7" ht="15">
      <c r="A1188" s="81" t="s">
        <v>2387</v>
      </c>
      <c r="B1188" s="80">
        <v>8</v>
      </c>
      <c r="C1188" s="104">
        <v>0.0043549777191386856</v>
      </c>
      <c r="D1188" s="80" t="s">
        <v>2184</v>
      </c>
      <c r="E1188" s="80" t="b">
        <v>0</v>
      </c>
      <c r="F1188" s="80" t="b">
        <v>0</v>
      </c>
      <c r="G1188" s="80" t="b">
        <v>0</v>
      </c>
    </row>
    <row r="1189" spans="1:7" ht="15">
      <c r="A1189" s="81" t="s">
        <v>2254</v>
      </c>
      <c r="B1189" s="80">
        <v>8</v>
      </c>
      <c r="C1189" s="104">
        <v>0.0019646650984817627</v>
      </c>
      <c r="D1189" s="80" t="s">
        <v>2184</v>
      </c>
      <c r="E1189" s="80" t="b">
        <v>0</v>
      </c>
      <c r="F1189" s="80" t="b">
        <v>0</v>
      </c>
      <c r="G1189" s="80" t="b">
        <v>0</v>
      </c>
    </row>
    <row r="1190" spans="1:7" ht="15">
      <c r="A1190" s="81" t="s">
        <v>2255</v>
      </c>
      <c r="B1190" s="80">
        <v>7</v>
      </c>
      <c r="C1190" s="104">
        <v>0.002764843732708946</v>
      </c>
      <c r="D1190" s="80" t="s">
        <v>2184</v>
      </c>
      <c r="E1190" s="80" t="b">
        <v>1</v>
      </c>
      <c r="F1190" s="80" t="b">
        <v>0</v>
      </c>
      <c r="G1190" s="80" t="b">
        <v>0</v>
      </c>
    </row>
    <row r="1191" spans="1:7" ht="15">
      <c r="A1191" s="81" t="s">
        <v>2306</v>
      </c>
      <c r="B1191" s="80">
        <v>7</v>
      </c>
      <c r="C1191" s="104">
        <v>0.0019205428191585436</v>
      </c>
      <c r="D1191" s="80" t="s">
        <v>2184</v>
      </c>
      <c r="E1191" s="80" t="b">
        <v>0</v>
      </c>
      <c r="F1191" s="80" t="b">
        <v>0</v>
      </c>
      <c r="G1191" s="80" t="b">
        <v>0</v>
      </c>
    </row>
    <row r="1192" spans="1:7" ht="15">
      <c r="A1192" s="81" t="s">
        <v>2322</v>
      </c>
      <c r="B1192" s="80">
        <v>7</v>
      </c>
      <c r="C1192" s="104">
        <v>0.002764843732708946</v>
      </c>
      <c r="D1192" s="80" t="s">
        <v>2184</v>
      </c>
      <c r="E1192" s="80" t="b">
        <v>0</v>
      </c>
      <c r="F1192" s="80" t="b">
        <v>0</v>
      </c>
      <c r="G1192" s="80" t="b">
        <v>0</v>
      </c>
    </row>
    <row r="1193" spans="1:7" ht="15">
      <c r="A1193" s="81" t="s">
        <v>2405</v>
      </c>
      <c r="B1193" s="80">
        <v>7</v>
      </c>
      <c r="C1193" s="104">
        <v>0.004856367275783754</v>
      </c>
      <c r="D1193" s="80" t="s">
        <v>2184</v>
      </c>
      <c r="E1193" s="80" t="b">
        <v>0</v>
      </c>
      <c r="F1193" s="80" t="b">
        <v>0</v>
      </c>
      <c r="G1193" s="80" t="b">
        <v>0</v>
      </c>
    </row>
    <row r="1194" spans="1:7" ht="15">
      <c r="A1194" s="81" t="s">
        <v>2327</v>
      </c>
      <c r="B1194" s="80">
        <v>7</v>
      </c>
      <c r="C1194" s="104">
        <v>0.0021531123116718402</v>
      </c>
      <c r="D1194" s="80" t="s">
        <v>2184</v>
      </c>
      <c r="E1194" s="80" t="b">
        <v>0</v>
      </c>
      <c r="F1194" s="80" t="b">
        <v>0</v>
      </c>
      <c r="G1194" s="80" t="b">
        <v>0</v>
      </c>
    </row>
    <row r="1195" spans="1:7" ht="15">
      <c r="A1195" s="81" t="s">
        <v>2288</v>
      </c>
      <c r="B1195" s="80">
        <v>7</v>
      </c>
      <c r="C1195" s="104">
        <v>0.0019205428191585436</v>
      </c>
      <c r="D1195" s="80" t="s">
        <v>2184</v>
      </c>
      <c r="E1195" s="80" t="b">
        <v>0</v>
      </c>
      <c r="F1195" s="80" t="b">
        <v>0</v>
      </c>
      <c r="G1195" s="80" t="b">
        <v>0</v>
      </c>
    </row>
    <row r="1196" spans="1:7" ht="15">
      <c r="A1196" s="81" t="s">
        <v>2312</v>
      </c>
      <c r="B1196" s="80">
        <v>7</v>
      </c>
      <c r="C1196" s="104">
        <v>0.0019205428191585436</v>
      </c>
      <c r="D1196" s="80" t="s">
        <v>2184</v>
      </c>
      <c r="E1196" s="80" t="b">
        <v>0</v>
      </c>
      <c r="F1196" s="80" t="b">
        <v>0</v>
      </c>
      <c r="G1196" s="80" t="b">
        <v>0</v>
      </c>
    </row>
    <row r="1197" spans="1:7" ht="15">
      <c r="A1197" s="81" t="s">
        <v>2242</v>
      </c>
      <c r="B1197" s="80">
        <v>7</v>
      </c>
      <c r="C1197" s="104">
        <v>0.002764843732708946</v>
      </c>
      <c r="D1197" s="80" t="s">
        <v>2184</v>
      </c>
      <c r="E1197" s="80" t="b">
        <v>0</v>
      </c>
      <c r="F1197" s="80" t="b">
        <v>0</v>
      </c>
      <c r="G1197" s="80" t="b">
        <v>0</v>
      </c>
    </row>
    <row r="1198" spans="1:7" ht="15">
      <c r="A1198" s="81" t="s">
        <v>2310</v>
      </c>
      <c r="B1198" s="80">
        <v>7</v>
      </c>
      <c r="C1198" s="104">
        <v>0.0019205428191585436</v>
      </c>
      <c r="D1198" s="80" t="s">
        <v>2184</v>
      </c>
      <c r="E1198" s="80" t="b">
        <v>0</v>
      </c>
      <c r="F1198" s="80" t="b">
        <v>0</v>
      </c>
      <c r="G1198" s="80" t="b">
        <v>0</v>
      </c>
    </row>
    <row r="1199" spans="1:7" ht="15">
      <c r="A1199" s="81" t="s">
        <v>2286</v>
      </c>
      <c r="B1199" s="80">
        <v>7</v>
      </c>
      <c r="C1199" s="104">
        <v>0.002428183637891877</v>
      </c>
      <c r="D1199" s="80" t="s">
        <v>2184</v>
      </c>
      <c r="E1199" s="80" t="b">
        <v>0</v>
      </c>
      <c r="F1199" s="80" t="b">
        <v>0</v>
      </c>
      <c r="G1199" s="80" t="b">
        <v>0</v>
      </c>
    </row>
    <row r="1200" spans="1:7" ht="15">
      <c r="A1200" s="81" t="s">
        <v>2238</v>
      </c>
      <c r="B1200" s="80">
        <v>7</v>
      </c>
      <c r="C1200" s="104">
        <v>0.0021531123116718402</v>
      </c>
      <c r="D1200" s="80" t="s">
        <v>2184</v>
      </c>
      <c r="E1200" s="80" t="b">
        <v>0</v>
      </c>
      <c r="F1200" s="80" t="b">
        <v>0</v>
      </c>
      <c r="G1200" s="80" t="b">
        <v>0</v>
      </c>
    </row>
    <row r="1201" spans="1:7" ht="15">
      <c r="A1201" s="81" t="s">
        <v>2313</v>
      </c>
      <c r="B1201" s="80">
        <v>7</v>
      </c>
      <c r="C1201" s="104">
        <v>0.0019205428191585436</v>
      </c>
      <c r="D1201" s="80" t="s">
        <v>2184</v>
      </c>
      <c r="E1201" s="80" t="b">
        <v>0</v>
      </c>
      <c r="F1201" s="80" t="b">
        <v>0</v>
      </c>
      <c r="G1201" s="80" t="b">
        <v>0</v>
      </c>
    </row>
    <row r="1202" spans="1:7" ht="15">
      <c r="A1202" s="81" t="s">
        <v>2241</v>
      </c>
      <c r="B1202" s="80">
        <v>7</v>
      </c>
      <c r="C1202" s="104">
        <v>0.0031988740832092437</v>
      </c>
      <c r="D1202" s="80" t="s">
        <v>2184</v>
      </c>
      <c r="E1202" s="80" t="b">
        <v>0</v>
      </c>
      <c r="F1202" s="80" t="b">
        <v>0</v>
      </c>
      <c r="G1202" s="80" t="b">
        <v>0</v>
      </c>
    </row>
    <row r="1203" spans="1:7" ht="15">
      <c r="A1203" s="81" t="s">
        <v>2251</v>
      </c>
      <c r="B1203" s="80">
        <v>7</v>
      </c>
      <c r="C1203" s="104">
        <v>0.002428183637891877</v>
      </c>
      <c r="D1203" s="80" t="s">
        <v>2184</v>
      </c>
      <c r="E1203" s="80" t="b">
        <v>0</v>
      </c>
      <c r="F1203" s="80" t="b">
        <v>0</v>
      </c>
      <c r="G1203" s="80" t="b">
        <v>0</v>
      </c>
    </row>
    <row r="1204" spans="1:7" ht="15">
      <c r="A1204" s="81" t="s">
        <v>2299</v>
      </c>
      <c r="B1204" s="80">
        <v>7</v>
      </c>
      <c r="C1204" s="104">
        <v>0.0019205428191585436</v>
      </c>
      <c r="D1204" s="80" t="s">
        <v>2184</v>
      </c>
      <c r="E1204" s="80" t="b">
        <v>0</v>
      </c>
      <c r="F1204" s="80" t="b">
        <v>1</v>
      </c>
      <c r="G1204" s="80" t="b">
        <v>0</v>
      </c>
    </row>
    <row r="1205" spans="1:7" ht="15">
      <c r="A1205" s="81" t="s">
        <v>2399</v>
      </c>
      <c r="B1205" s="80">
        <v>7</v>
      </c>
      <c r="C1205" s="104">
        <v>0.00381060550424635</v>
      </c>
      <c r="D1205" s="80" t="s">
        <v>2184</v>
      </c>
      <c r="E1205" s="80" t="b">
        <v>0</v>
      </c>
      <c r="F1205" s="80" t="b">
        <v>0</v>
      </c>
      <c r="G1205" s="80" t="b">
        <v>0</v>
      </c>
    </row>
    <row r="1206" spans="1:7" ht="15">
      <c r="A1206" s="81" t="s">
        <v>2250</v>
      </c>
      <c r="B1206" s="80">
        <v>6</v>
      </c>
      <c r="C1206" s="104">
        <v>0.00208130026105018</v>
      </c>
      <c r="D1206" s="80" t="s">
        <v>2184</v>
      </c>
      <c r="E1206" s="80" t="b">
        <v>0</v>
      </c>
      <c r="F1206" s="80" t="b">
        <v>0</v>
      </c>
      <c r="G1206" s="80" t="b">
        <v>0</v>
      </c>
    </row>
    <row r="1207" spans="1:7" ht="15">
      <c r="A1207" s="81" t="s">
        <v>2230</v>
      </c>
      <c r="B1207" s="80">
        <v>6</v>
      </c>
      <c r="C1207" s="104">
        <v>0.00208130026105018</v>
      </c>
      <c r="D1207" s="80" t="s">
        <v>2184</v>
      </c>
      <c r="E1207" s="80" t="b">
        <v>0</v>
      </c>
      <c r="F1207" s="80" t="b">
        <v>0</v>
      </c>
      <c r="G1207" s="80" t="b">
        <v>0</v>
      </c>
    </row>
    <row r="1208" spans="1:7" ht="15">
      <c r="A1208" s="81" t="s">
        <v>2323</v>
      </c>
      <c r="B1208" s="80">
        <v>6</v>
      </c>
      <c r="C1208" s="104">
        <v>0.001845524838575863</v>
      </c>
      <c r="D1208" s="80" t="s">
        <v>2184</v>
      </c>
      <c r="E1208" s="80" t="b">
        <v>0</v>
      </c>
      <c r="F1208" s="80" t="b">
        <v>0</v>
      </c>
      <c r="G1208" s="80" t="b">
        <v>0</v>
      </c>
    </row>
    <row r="1209" spans="1:7" ht="15">
      <c r="A1209" s="81" t="s">
        <v>2247</v>
      </c>
      <c r="B1209" s="80">
        <v>6</v>
      </c>
      <c r="C1209" s="104">
        <v>0.00208130026105018</v>
      </c>
      <c r="D1209" s="80" t="s">
        <v>2184</v>
      </c>
      <c r="E1209" s="80" t="b">
        <v>0</v>
      </c>
      <c r="F1209" s="80" t="b">
        <v>0</v>
      </c>
      <c r="G1209" s="80" t="b">
        <v>0</v>
      </c>
    </row>
    <row r="1210" spans="1:7" ht="15">
      <c r="A1210" s="81" t="s">
        <v>2331</v>
      </c>
      <c r="B1210" s="80">
        <v>6</v>
      </c>
      <c r="C1210" s="104">
        <v>0.001845524838575863</v>
      </c>
      <c r="D1210" s="80" t="s">
        <v>2184</v>
      </c>
      <c r="E1210" s="80" t="b">
        <v>0</v>
      </c>
      <c r="F1210" s="80" t="b">
        <v>0</v>
      </c>
      <c r="G1210" s="80" t="b">
        <v>0</v>
      </c>
    </row>
    <row r="1211" spans="1:7" ht="15">
      <c r="A1211" s="81" t="s">
        <v>2445</v>
      </c>
      <c r="B1211" s="80">
        <v>6</v>
      </c>
      <c r="C1211" s="104">
        <v>0.002741892071322209</v>
      </c>
      <c r="D1211" s="80" t="s">
        <v>2184</v>
      </c>
      <c r="E1211" s="80" t="b">
        <v>0</v>
      </c>
      <c r="F1211" s="80" t="b">
        <v>0</v>
      </c>
      <c r="G1211" s="80" t="b">
        <v>0</v>
      </c>
    </row>
    <row r="1212" spans="1:7" ht="15">
      <c r="A1212" s="81" t="s">
        <v>2290</v>
      </c>
      <c r="B1212" s="80">
        <v>6</v>
      </c>
      <c r="C1212" s="104">
        <v>0.00208130026105018</v>
      </c>
      <c r="D1212" s="80" t="s">
        <v>2184</v>
      </c>
      <c r="E1212" s="80" t="b">
        <v>0</v>
      </c>
      <c r="F1212" s="80" t="b">
        <v>0</v>
      </c>
      <c r="G1212" s="80" t="b">
        <v>0</v>
      </c>
    </row>
    <row r="1213" spans="1:7" ht="15">
      <c r="A1213" s="81" t="s">
        <v>2260</v>
      </c>
      <c r="B1213" s="80">
        <v>6</v>
      </c>
      <c r="C1213" s="104">
        <v>0.002369866056607668</v>
      </c>
      <c r="D1213" s="80" t="s">
        <v>2184</v>
      </c>
      <c r="E1213" s="80" t="b">
        <v>0</v>
      </c>
      <c r="F1213" s="80" t="b">
        <v>0</v>
      </c>
      <c r="G1213" s="80" t="b">
        <v>0</v>
      </c>
    </row>
    <row r="1214" spans="1:7" ht="15">
      <c r="A1214" s="81" t="s">
        <v>2408</v>
      </c>
      <c r="B1214" s="80">
        <v>6</v>
      </c>
      <c r="C1214" s="104">
        <v>0.002741892071322209</v>
      </c>
      <c r="D1214" s="80" t="s">
        <v>2184</v>
      </c>
      <c r="E1214" s="80" t="b">
        <v>0</v>
      </c>
      <c r="F1214" s="80" t="b">
        <v>0</v>
      </c>
      <c r="G1214" s="80" t="b">
        <v>0</v>
      </c>
    </row>
    <row r="1215" spans="1:7" ht="15">
      <c r="A1215" s="81" t="s">
        <v>2268</v>
      </c>
      <c r="B1215" s="80">
        <v>6</v>
      </c>
      <c r="C1215" s="104">
        <v>0.002369866056607668</v>
      </c>
      <c r="D1215" s="80" t="s">
        <v>2184</v>
      </c>
      <c r="E1215" s="80" t="b">
        <v>0</v>
      </c>
      <c r="F1215" s="80" t="b">
        <v>0</v>
      </c>
      <c r="G1215" s="80" t="b">
        <v>0</v>
      </c>
    </row>
    <row r="1216" spans="1:7" ht="15">
      <c r="A1216" s="81" t="s">
        <v>2267</v>
      </c>
      <c r="B1216" s="80">
        <v>6</v>
      </c>
      <c r="C1216" s="104">
        <v>0.00208130026105018</v>
      </c>
      <c r="D1216" s="80" t="s">
        <v>2184</v>
      </c>
      <c r="E1216" s="80" t="b">
        <v>0</v>
      </c>
      <c r="F1216" s="80" t="b">
        <v>0</v>
      </c>
      <c r="G1216" s="80" t="b">
        <v>0</v>
      </c>
    </row>
    <row r="1217" spans="1:7" ht="15">
      <c r="A1217" s="81" t="s">
        <v>2350</v>
      </c>
      <c r="B1217" s="80">
        <v>6</v>
      </c>
      <c r="C1217" s="104">
        <v>0.00208130026105018</v>
      </c>
      <c r="D1217" s="80" t="s">
        <v>2184</v>
      </c>
      <c r="E1217" s="80" t="b">
        <v>0</v>
      </c>
      <c r="F1217" s="80" t="b">
        <v>0</v>
      </c>
      <c r="G1217" s="80" t="b">
        <v>0</v>
      </c>
    </row>
    <row r="1218" spans="1:7" ht="15">
      <c r="A1218" s="81" t="s">
        <v>2420</v>
      </c>
      <c r="B1218" s="80">
        <v>5</v>
      </c>
      <c r="C1218" s="104">
        <v>0.0017344168842084835</v>
      </c>
      <c r="D1218" s="80" t="s">
        <v>2184</v>
      </c>
      <c r="E1218" s="80" t="b">
        <v>0</v>
      </c>
      <c r="F1218" s="80" t="b">
        <v>0</v>
      </c>
      <c r="G1218" s="80" t="b">
        <v>0</v>
      </c>
    </row>
    <row r="1219" spans="1:7" ht="15">
      <c r="A1219" s="81" t="s">
        <v>2223</v>
      </c>
      <c r="B1219" s="80">
        <v>5</v>
      </c>
      <c r="C1219" s="104">
        <v>0.00197488838050639</v>
      </c>
      <c r="D1219" s="80" t="s">
        <v>2184</v>
      </c>
      <c r="E1219" s="80" t="b">
        <v>0</v>
      </c>
      <c r="F1219" s="80" t="b">
        <v>0</v>
      </c>
      <c r="G1219" s="80" t="b">
        <v>0</v>
      </c>
    </row>
    <row r="1220" spans="1:7" ht="15">
      <c r="A1220" s="81" t="s">
        <v>2252</v>
      </c>
      <c r="B1220" s="80">
        <v>5</v>
      </c>
      <c r="C1220" s="104">
        <v>0.00197488838050639</v>
      </c>
      <c r="D1220" s="80" t="s">
        <v>2184</v>
      </c>
      <c r="E1220" s="80" t="b">
        <v>0</v>
      </c>
      <c r="F1220" s="80" t="b">
        <v>0</v>
      </c>
      <c r="G1220" s="80" t="b">
        <v>0</v>
      </c>
    </row>
    <row r="1221" spans="1:7" ht="15">
      <c r="A1221" s="81" t="s">
        <v>2336</v>
      </c>
      <c r="B1221" s="80">
        <v>5</v>
      </c>
      <c r="C1221" s="104">
        <v>0.002284910059435174</v>
      </c>
      <c r="D1221" s="80" t="s">
        <v>2184</v>
      </c>
      <c r="E1221" s="80" t="b">
        <v>1</v>
      </c>
      <c r="F1221" s="80" t="b">
        <v>0</v>
      </c>
      <c r="G1221" s="80" t="b">
        <v>0</v>
      </c>
    </row>
    <row r="1222" spans="1:7" ht="15">
      <c r="A1222" s="81" t="s">
        <v>2478</v>
      </c>
      <c r="B1222" s="80">
        <v>5</v>
      </c>
      <c r="C1222" s="104">
        <v>0.0017344168842084835</v>
      </c>
      <c r="D1222" s="80" t="s">
        <v>2184</v>
      </c>
      <c r="E1222" s="80" t="b">
        <v>0</v>
      </c>
      <c r="F1222" s="80" t="b">
        <v>0</v>
      </c>
      <c r="G1222" s="80" t="b">
        <v>0</v>
      </c>
    </row>
    <row r="1223" spans="1:7" ht="15">
      <c r="A1223" s="81" t="s">
        <v>2438</v>
      </c>
      <c r="B1223" s="80">
        <v>5</v>
      </c>
      <c r="C1223" s="104">
        <v>0.002284910059435174</v>
      </c>
      <c r="D1223" s="80" t="s">
        <v>2184</v>
      </c>
      <c r="E1223" s="80" t="b">
        <v>0</v>
      </c>
      <c r="F1223" s="80" t="b">
        <v>0</v>
      </c>
      <c r="G1223" s="80" t="b">
        <v>0</v>
      </c>
    </row>
    <row r="1224" spans="1:7" ht="15">
      <c r="A1224" s="81" t="s">
        <v>2360</v>
      </c>
      <c r="B1224" s="80">
        <v>5</v>
      </c>
      <c r="C1224" s="104">
        <v>0.00197488838050639</v>
      </c>
      <c r="D1224" s="80" t="s">
        <v>2184</v>
      </c>
      <c r="E1224" s="80" t="b">
        <v>0</v>
      </c>
      <c r="F1224" s="80" t="b">
        <v>0</v>
      </c>
      <c r="G1224" s="80" t="b">
        <v>0</v>
      </c>
    </row>
    <row r="1225" spans="1:7" ht="15">
      <c r="A1225" s="81" t="s">
        <v>2280</v>
      </c>
      <c r="B1225" s="80">
        <v>5</v>
      </c>
      <c r="C1225" s="104">
        <v>0.0017344168842084835</v>
      </c>
      <c r="D1225" s="80" t="s">
        <v>2184</v>
      </c>
      <c r="E1225" s="80" t="b">
        <v>0</v>
      </c>
      <c r="F1225" s="80" t="b">
        <v>0</v>
      </c>
      <c r="G1225" s="80" t="b">
        <v>0</v>
      </c>
    </row>
    <row r="1226" spans="1:7" ht="15">
      <c r="A1226" s="81" t="s">
        <v>2371</v>
      </c>
      <c r="B1226" s="80">
        <v>5</v>
      </c>
      <c r="C1226" s="104">
        <v>0.0017344168842084835</v>
      </c>
      <c r="D1226" s="80" t="s">
        <v>2184</v>
      </c>
      <c r="E1226" s="80" t="b">
        <v>0</v>
      </c>
      <c r="F1226" s="80" t="b">
        <v>0</v>
      </c>
      <c r="G1226" s="80" t="b">
        <v>0</v>
      </c>
    </row>
    <row r="1227" spans="1:7" ht="15">
      <c r="A1227" s="81" t="s">
        <v>2362</v>
      </c>
      <c r="B1227" s="80">
        <v>5</v>
      </c>
      <c r="C1227" s="104">
        <v>0.002284910059435174</v>
      </c>
      <c r="D1227" s="80" t="s">
        <v>2184</v>
      </c>
      <c r="E1227" s="80" t="b">
        <v>1</v>
      </c>
      <c r="F1227" s="80" t="b">
        <v>0</v>
      </c>
      <c r="G1227" s="80" t="b">
        <v>0</v>
      </c>
    </row>
    <row r="1228" spans="1:7" ht="15">
      <c r="A1228" s="81" t="s">
        <v>2284</v>
      </c>
      <c r="B1228" s="80">
        <v>5</v>
      </c>
      <c r="C1228" s="104">
        <v>0.0017344168842084835</v>
      </c>
      <c r="D1228" s="80" t="s">
        <v>2184</v>
      </c>
      <c r="E1228" s="80" t="b">
        <v>0</v>
      </c>
      <c r="F1228" s="80" t="b">
        <v>0</v>
      </c>
      <c r="G1228" s="80" t="b">
        <v>0</v>
      </c>
    </row>
    <row r="1229" spans="1:7" ht="15">
      <c r="A1229" s="81" t="s">
        <v>2233</v>
      </c>
      <c r="B1229" s="80">
        <v>5</v>
      </c>
      <c r="C1229" s="104">
        <v>0.0017344168842084835</v>
      </c>
      <c r="D1229" s="80" t="s">
        <v>2184</v>
      </c>
      <c r="E1229" s="80" t="b">
        <v>0</v>
      </c>
      <c r="F1229" s="80" t="b">
        <v>0</v>
      </c>
      <c r="G1229" s="80" t="b">
        <v>0</v>
      </c>
    </row>
    <row r="1230" spans="1:7" ht="15">
      <c r="A1230" s="81" t="s">
        <v>2281</v>
      </c>
      <c r="B1230" s="80">
        <v>5</v>
      </c>
      <c r="C1230" s="104">
        <v>0.0017344168842084835</v>
      </c>
      <c r="D1230" s="80" t="s">
        <v>2184</v>
      </c>
      <c r="E1230" s="80" t="b">
        <v>0</v>
      </c>
      <c r="F1230" s="80" t="b">
        <v>0</v>
      </c>
      <c r="G1230" s="80" t="b">
        <v>0</v>
      </c>
    </row>
    <row r="1231" spans="1:7" ht="15">
      <c r="A1231" s="81" t="s">
        <v>2353</v>
      </c>
      <c r="B1231" s="80">
        <v>5</v>
      </c>
      <c r="C1231" s="104">
        <v>0.0017344168842084835</v>
      </c>
      <c r="D1231" s="80" t="s">
        <v>2184</v>
      </c>
      <c r="E1231" s="80" t="b">
        <v>0</v>
      </c>
      <c r="F1231" s="80" t="b">
        <v>0</v>
      </c>
      <c r="G1231" s="80" t="b">
        <v>0</v>
      </c>
    </row>
    <row r="1232" spans="1:7" ht="15">
      <c r="A1232" s="81" t="s">
        <v>2307</v>
      </c>
      <c r="B1232" s="80">
        <v>5</v>
      </c>
      <c r="C1232" s="104">
        <v>0.00197488838050639</v>
      </c>
      <c r="D1232" s="80" t="s">
        <v>2184</v>
      </c>
      <c r="E1232" s="80" t="b">
        <v>0</v>
      </c>
      <c r="F1232" s="80" t="b">
        <v>0</v>
      </c>
      <c r="G1232" s="80" t="b">
        <v>0</v>
      </c>
    </row>
    <row r="1233" spans="1:7" ht="15">
      <c r="A1233" s="81" t="s">
        <v>2232</v>
      </c>
      <c r="B1233" s="80">
        <v>5</v>
      </c>
      <c r="C1233" s="104">
        <v>0.00197488838050639</v>
      </c>
      <c r="D1233" s="80" t="s">
        <v>2184</v>
      </c>
      <c r="E1233" s="80" t="b">
        <v>0</v>
      </c>
      <c r="F1233" s="80" t="b">
        <v>0</v>
      </c>
      <c r="G1233" s="80" t="b">
        <v>0</v>
      </c>
    </row>
    <row r="1234" spans="1:7" ht="15">
      <c r="A1234" s="81" t="s">
        <v>2311</v>
      </c>
      <c r="B1234" s="80">
        <v>5</v>
      </c>
      <c r="C1234" s="104">
        <v>0.0017344168842084835</v>
      </c>
      <c r="D1234" s="80" t="s">
        <v>2184</v>
      </c>
      <c r="E1234" s="80" t="b">
        <v>0</v>
      </c>
      <c r="F1234" s="80" t="b">
        <v>0</v>
      </c>
      <c r="G1234" s="80" t="b">
        <v>0</v>
      </c>
    </row>
    <row r="1235" spans="1:7" ht="15">
      <c r="A1235" s="81" t="s">
        <v>2396</v>
      </c>
      <c r="B1235" s="80">
        <v>4</v>
      </c>
      <c r="C1235" s="104">
        <v>0.001579910704405112</v>
      </c>
      <c r="D1235" s="80" t="s">
        <v>2184</v>
      </c>
      <c r="E1235" s="80" t="b">
        <v>0</v>
      </c>
      <c r="F1235" s="80" t="b">
        <v>0</v>
      </c>
      <c r="G1235" s="80" t="b">
        <v>0</v>
      </c>
    </row>
    <row r="1236" spans="1:7" ht="15">
      <c r="A1236" s="81" t="s">
        <v>2406</v>
      </c>
      <c r="B1236" s="80">
        <v>4</v>
      </c>
      <c r="C1236" s="104">
        <v>0.0021774888595693428</v>
      </c>
      <c r="D1236" s="80" t="s">
        <v>2184</v>
      </c>
      <c r="E1236" s="80" t="b">
        <v>0</v>
      </c>
      <c r="F1236" s="80" t="b">
        <v>0</v>
      </c>
      <c r="G1236" s="80" t="b">
        <v>0</v>
      </c>
    </row>
    <row r="1237" spans="1:7" ht="15">
      <c r="A1237" s="81" t="s">
        <v>2253</v>
      </c>
      <c r="B1237" s="80">
        <v>4</v>
      </c>
      <c r="C1237" s="104">
        <v>0.0018279280475481394</v>
      </c>
      <c r="D1237" s="80" t="s">
        <v>2184</v>
      </c>
      <c r="E1237" s="80" t="b">
        <v>0</v>
      </c>
      <c r="F1237" s="80" t="b">
        <v>0</v>
      </c>
      <c r="G1237" s="80" t="b">
        <v>0</v>
      </c>
    </row>
    <row r="1238" spans="1:7" ht="15">
      <c r="A1238" s="81" t="s">
        <v>2674</v>
      </c>
      <c r="B1238" s="80">
        <v>4</v>
      </c>
      <c r="C1238" s="104">
        <v>0.0027750670147335737</v>
      </c>
      <c r="D1238" s="80" t="s">
        <v>2184</v>
      </c>
      <c r="E1238" s="80" t="b">
        <v>0</v>
      </c>
      <c r="F1238" s="80" t="b">
        <v>0</v>
      </c>
      <c r="G1238" s="80" t="b">
        <v>0</v>
      </c>
    </row>
    <row r="1239" spans="1:7" ht="15">
      <c r="A1239" s="81" t="s">
        <v>2243</v>
      </c>
      <c r="B1239" s="80">
        <v>4</v>
      </c>
      <c r="C1239" s="104">
        <v>0.0018279280475481394</v>
      </c>
      <c r="D1239" s="80" t="s">
        <v>2184</v>
      </c>
      <c r="E1239" s="80" t="b">
        <v>0</v>
      </c>
      <c r="F1239" s="80" t="b">
        <v>0</v>
      </c>
      <c r="G1239" s="80" t="b">
        <v>0</v>
      </c>
    </row>
    <row r="1240" spans="1:7" ht="15">
      <c r="A1240" s="81" t="s">
        <v>2666</v>
      </c>
      <c r="B1240" s="80">
        <v>4</v>
      </c>
      <c r="C1240" s="104">
        <v>0.0018279280475481394</v>
      </c>
      <c r="D1240" s="80" t="s">
        <v>2184</v>
      </c>
      <c r="E1240" s="80" t="b">
        <v>0</v>
      </c>
      <c r="F1240" s="80" t="b">
        <v>0</v>
      </c>
      <c r="G1240" s="80" t="b">
        <v>0</v>
      </c>
    </row>
    <row r="1241" spans="1:7" ht="15">
      <c r="A1241" s="81" t="s">
        <v>2305</v>
      </c>
      <c r="B1241" s="80">
        <v>4</v>
      </c>
      <c r="C1241" s="104">
        <v>0.001579910704405112</v>
      </c>
      <c r="D1241" s="80" t="s">
        <v>2184</v>
      </c>
      <c r="E1241" s="80" t="b">
        <v>0</v>
      </c>
      <c r="F1241" s="80" t="b">
        <v>0</v>
      </c>
      <c r="G1241" s="80" t="b">
        <v>0</v>
      </c>
    </row>
    <row r="1242" spans="1:7" ht="15">
      <c r="A1242" s="81" t="s">
        <v>2328</v>
      </c>
      <c r="B1242" s="80">
        <v>4</v>
      </c>
      <c r="C1242" s="104">
        <v>0.0018279280475481394</v>
      </c>
      <c r="D1242" s="80" t="s">
        <v>2184</v>
      </c>
      <c r="E1242" s="80" t="b">
        <v>0</v>
      </c>
      <c r="F1242" s="80" t="b">
        <v>0</v>
      </c>
      <c r="G1242" s="80" t="b">
        <v>0</v>
      </c>
    </row>
    <row r="1243" spans="1:7" ht="15">
      <c r="A1243" s="81" t="s">
        <v>2358</v>
      </c>
      <c r="B1243" s="80">
        <v>4</v>
      </c>
      <c r="C1243" s="104">
        <v>0.0021774888595693428</v>
      </c>
      <c r="D1243" s="80" t="s">
        <v>2184</v>
      </c>
      <c r="E1243" s="80" t="b">
        <v>0</v>
      </c>
      <c r="F1243" s="80" t="b">
        <v>0</v>
      </c>
      <c r="G1243" s="80" t="b">
        <v>0</v>
      </c>
    </row>
    <row r="1244" spans="1:7" ht="15">
      <c r="A1244" s="81" t="s">
        <v>2665</v>
      </c>
      <c r="B1244" s="80">
        <v>4</v>
      </c>
      <c r="C1244" s="104">
        <v>0.0027750670147335737</v>
      </c>
      <c r="D1244" s="80" t="s">
        <v>2184</v>
      </c>
      <c r="E1244" s="80" t="b">
        <v>0</v>
      </c>
      <c r="F1244" s="80" t="b">
        <v>0</v>
      </c>
      <c r="G1244" s="80" t="b">
        <v>0</v>
      </c>
    </row>
    <row r="1245" spans="1:7" ht="15">
      <c r="A1245" s="81" t="s">
        <v>2373</v>
      </c>
      <c r="B1245" s="80">
        <v>4</v>
      </c>
      <c r="C1245" s="104">
        <v>0.001579910704405112</v>
      </c>
      <c r="D1245" s="80" t="s">
        <v>2184</v>
      </c>
      <c r="E1245" s="80" t="b">
        <v>1</v>
      </c>
      <c r="F1245" s="80" t="b">
        <v>0</v>
      </c>
      <c r="G1245" s="80" t="b">
        <v>0</v>
      </c>
    </row>
    <row r="1246" spans="1:7" ht="15">
      <c r="A1246" s="81" t="s">
        <v>2263</v>
      </c>
      <c r="B1246" s="80">
        <v>4</v>
      </c>
      <c r="C1246" s="104">
        <v>0.0018279280475481394</v>
      </c>
      <c r="D1246" s="80" t="s">
        <v>2184</v>
      </c>
      <c r="E1246" s="80" t="b">
        <v>0</v>
      </c>
      <c r="F1246" s="80" t="b">
        <v>0</v>
      </c>
      <c r="G1246" s="80" t="b">
        <v>0</v>
      </c>
    </row>
    <row r="1247" spans="1:7" ht="15">
      <c r="A1247" s="81" t="s">
        <v>2271</v>
      </c>
      <c r="B1247" s="80">
        <v>4</v>
      </c>
      <c r="C1247" s="104">
        <v>0.001579910704405112</v>
      </c>
      <c r="D1247" s="80" t="s">
        <v>2184</v>
      </c>
      <c r="E1247" s="80" t="b">
        <v>0</v>
      </c>
      <c r="F1247" s="80" t="b">
        <v>0</v>
      </c>
      <c r="G1247" s="80" t="b">
        <v>0</v>
      </c>
    </row>
    <row r="1248" spans="1:7" ht="15">
      <c r="A1248" s="81" t="s">
        <v>2638</v>
      </c>
      <c r="B1248" s="80">
        <v>4</v>
      </c>
      <c r="C1248" s="104">
        <v>0.001579910704405112</v>
      </c>
      <c r="D1248" s="80" t="s">
        <v>2184</v>
      </c>
      <c r="E1248" s="80" t="b">
        <v>0</v>
      </c>
      <c r="F1248" s="80" t="b">
        <v>0</v>
      </c>
      <c r="G1248" s="80" t="b">
        <v>0</v>
      </c>
    </row>
    <row r="1249" spans="1:7" ht="15">
      <c r="A1249" s="81" t="s">
        <v>2477</v>
      </c>
      <c r="B1249" s="80">
        <v>4</v>
      </c>
      <c r="C1249" s="104">
        <v>0.001579910704405112</v>
      </c>
      <c r="D1249" s="80" t="s">
        <v>2184</v>
      </c>
      <c r="E1249" s="80" t="b">
        <v>0</v>
      </c>
      <c r="F1249" s="80" t="b">
        <v>0</v>
      </c>
      <c r="G1249" s="80" t="b">
        <v>0</v>
      </c>
    </row>
    <row r="1250" spans="1:7" ht="15">
      <c r="A1250" s="81" t="s">
        <v>2470</v>
      </c>
      <c r="B1250" s="80">
        <v>4</v>
      </c>
      <c r="C1250" s="104">
        <v>0.0021774888595693428</v>
      </c>
      <c r="D1250" s="80" t="s">
        <v>2184</v>
      </c>
      <c r="E1250" s="80" t="b">
        <v>0</v>
      </c>
      <c r="F1250" s="80" t="b">
        <v>0</v>
      </c>
      <c r="G1250" s="80" t="b">
        <v>0</v>
      </c>
    </row>
    <row r="1251" spans="1:7" ht="15">
      <c r="A1251" s="81" t="s">
        <v>2273</v>
      </c>
      <c r="B1251" s="80">
        <v>4</v>
      </c>
      <c r="C1251" s="104">
        <v>0.001579910704405112</v>
      </c>
      <c r="D1251" s="80" t="s">
        <v>2184</v>
      </c>
      <c r="E1251" s="80" t="b">
        <v>1</v>
      </c>
      <c r="F1251" s="80" t="b">
        <v>0</v>
      </c>
      <c r="G1251" s="80" t="b">
        <v>0</v>
      </c>
    </row>
    <row r="1252" spans="1:7" ht="15">
      <c r="A1252" s="81" t="s">
        <v>2257</v>
      </c>
      <c r="B1252" s="80">
        <v>4</v>
      </c>
      <c r="C1252" s="104">
        <v>0.001579910704405112</v>
      </c>
      <c r="D1252" s="80" t="s">
        <v>2184</v>
      </c>
      <c r="E1252" s="80" t="b">
        <v>0</v>
      </c>
      <c r="F1252" s="80" t="b">
        <v>0</v>
      </c>
      <c r="G1252" s="80" t="b">
        <v>0</v>
      </c>
    </row>
    <row r="1253" spans="1:7" ht="15">
      <c r="A1253" s="81" t="s">
        <v>2562</v>
      </c>
      <c r="B1253" s="80">
        <v>4</v>
      </c>
      <c r="C1253" s="104">
        <v>0.001579910704405112</v>
      </c>
      <c r="D1253" s="80" t="s">
        <v>2184</v>
      </c>
      <c r="E1253" s="80" t="b">
        <v>0</v>
      </c>
      <c r="F1253" s="80" t="b">
        <v>0</v>
      </c>
      <c r="G1253" s="80" t="b">
        <v>0</v>
      </c>
    </row>
    <row r="1254" spans="1:7" ht="15">
      <c r="A1254" s="81" t="s">
        <v>2440</v>
      </c>
      <c r="B1254" s="80">
        <v>4</v>
      </c>
      <c r="C1254" s="104">
        <v>0.0027750670147335737</v>
      </c>
      <c r="D1254" s="80" t="s">
        <v>2184</v>
      </c>
      <c r="E1254" s="80" t="b">
        <v>0</v>
      </c>
      <c r="F1254" s="80" t="b">
        <v>0</v>
      </c>
      <c r="G1254" s="80" t="b">
        <v>0</v>
      </c>
    </row>
    <row r="1255" spans="1:7" ht="15">
      <c r="A1255" s="81" t="s">
        <v>2594</v>
      </c>
      <c r="B1255" s="80">
        <v>4</v>
      </c>
      <c r="C1255" s="104">
        <v>0.0021774888595693428</v>
      </c>
      <c r="D1255" s="80" t="s">
        <v>2184</v>
      </c>
      <c r="E1255" s="80" t="b">
        <v>0</v>
      </c>
      <c r="F1255" s="80" t="b">
        <v>0</v>
      </c>
      <c r="G1255" s="80" t="b">
        <v>0</v>
      </c>
    </row>
    <row r="1256" spans="1:7" ht="15">
      <c r="A1256" s="81" t="s">
        <v>2367</v>
      </c>
      <c r="B1256" s="80">
        <v>4</v>
      </c>
      <c r="C1256" s="104">
        <v>0.0018279280475481394</v>
      </c>
      <c r="D1256" s="80" t="s">
        <v>2184</v>
      </c>
      <c r="E1256" s="80" t="b">
        <v>0</v>
      </c>
      <c r="F1256" s="80" t="b">
        <v>0</v>
      </c>
      <c r="G1256" s="80" t="b">
        <v>0</v>
      </c>
    </row>
    <row r="1257" spans="1:7" ht="15">
      <c r="A1257" s="81" t="s">
        <v>2423</v>
      </c>
      <c r="B1257" s="80">
        <v>4</v>
      </c>
      <c r="C1257" s="104">
        <v>0.001579910704405112</v>
      </c>
      <c r="D1257" s="80" t="s">
        <v>2184</v>
      </c>
      <c r="E1257" s="80" t="b">
        <v>0</v>
      </c>
      <c r="F1257" s="80" t="b">
        <v>0</v>
      </c>
      <c r="G1257" s="80" t="b">
        <v>0</v>
      </c>
    </row>
    <row r="1258" spans="1:7" ht="15">
      <c r="A1258" s="81" t="s">
        <v>2544</v>
      </c>
      <c r="B1258" s="80">
        <v>4</v>
      </c>
      <c r="C1258" s="104">
        <v>0.001579910704405112</v>
      </c>
      <c r="D1258" s="80" t="s">
        <v>2184</v>
      </c>
      <c r="E1258" s="80" t="b">
        <v>0</v>
      </c>
      <c r="F1258" s="80" t="b">
        <v>1</v>
      </c>
      <c r="G1258" s="80" t="b">
        <v>0</v>
      </c>
    </row>
    <row r="1259" spans="1:7" ht="15">
      <c r="A1259" s="81" t="s">
        <v>2357</v>
      </c>
      <c r="B1259" s="80">
        <v>4</v>
      </c>
      <c r="C1259" s="104">
        <v>0.001579910704405112</v>
      </c>
      <c r="D1259" s="80" t="s">
        <v>2184</v>
      </c>
      <c r="E1259" s="80" t="b">
        <v>0</v>
      </c>
      <c r="F1259" s="80" t="b">
        <v>0</v>
      </c>
      <c r="G1259" s="80" t="b">
        <v>0</v>
      </c>
    </row>
    <row r="1260" spans="1:7" ht="15">
      <c r="A1260" s="81" t="s">
        <v>2433</v>
      </c>
      <c r="B1260" s="80">
        <v>4</v>
      </c>
      <c r="C1260" s="104">
        <v>0.0021774888595693428</v>
      </c>
      <c r="D1260" s="80" t="s">
        <v>2184</v>
      </c>
      <c r="E1260" s="80" t="b">
        <v>0</v>
      </c>
      <c r="F1260" s="80" t="b">
        <v>0</v>
      </c>
      <c r="G1260" s="80" t="b">
        <v>0</v>
      </c>
    </row>
    <row r="1261" spans="1:7" ht="15">
      <c r="A1261" s="81" t="s">
        <v>2302</v>
      </c>
      <c r="B1261" s="80">
        <v>4</v>
      </c>
      <c r="C1261" s="104">
        <v>0.001579910704405112</v>
      </c>
      <c r="D1261" s="80" t="s">
        <v>2184</v>
      </c>
      <c r="E1261" s="80" t="b">
        <v>0</v>
      </c>
      <c r="F1261" s="80" t="b">
        <v>0</v>
      </c>
      <c r="G1261" s="80" t="b">
        <v>0</v>
      </c>
    </row>
    <row r="1262" spans="1:7" ht="15">
      <c r="A1262" s="81" t="s">
        <v>2274</v>
      </c>
      <c r="B1262" s="80">
        <v>4</v>
      </c>
      <c r="C1262" s="104">
        <v>0.0018279280475481394</v>
      </c>
      <c r="D1262" s="80" t="s">
        <v>2184</v>
      </c>
      <c r="E1262" s="80" t="b">
        <v>0</v>
      </c>
      <c r="F1262" s="80" t="b">
        <v>0</v>
      </c>
      <c r="G1262" s="80" t="b">
        <v>0</v>
      </c>
    </row>
    <row r="1263" spans="1:7" ht="15">
      <c r="A1263" s="81" t="s">
        <v>2315</v>
      </c>
      <c r="B1263" s="80">
        <v>4</v>
      </c>
      <c r="C1263" s="104">
        <v>0.001579910704405112</v>
      </c>
      <c r="D1263" s="80" t="s">
        <v>2184</v>
      </c>
      <c r="E1263" s="80" t="b">
        <v>0</v>
      </c>
      <c r="F1263" s="80" t="b">
        <v>0</v>
      </c>
      <c r="G1263" s="80" t="b">
        <v>0</v>
      </c>
    </row>
    <row r="1264" spans="1:7" ht="15">
      <c r="A1264" s="81" t="s">
        <v>2528</v>
      </c>
      <c r="B1264" s="80">
        <v>4</v>
      </c>
      <c r="C1264" s="104">
        <v>0.0018279280475481394</v>
      </c>
      <c r="D1264" s="80" t="s">
        <v>2184</v>
      </c>
      <c r="E1264" s="80" t="b">
        <v>0</v>
      </c>
      <c r="F1264" s="80" t="b">
        <v>0</v>
      </c>
      <c r="G1264" s="80" t="b">
        <v>0</v>
      </c>
    </row>
    <row r="1265" spans="1:7" ht="15">
      <c r="A1265" s="81" t="s">
        <v>2568</v>
      </c>
      <c r="B1265" s="80">
        <v>4</v>
      </c>
      <c r="C1265" s="104">
        <v>0.0018279280475481394</v>
      </c>
      <c r="D1265" s="80" t="s">
        <v>2184</v>
      </c>
      <c r="E1265" s="80" t="b">
        <v>0</v>
      </c>
      <c r="F1265" s="80" t="b">
        <v>0</v>
      </c>
      <c r="G1265" s="80" t="b">
        <v>0</v>
      </c>
    </row>
    <row r="1266" spans="1:7" ht="15">
      <c r="A1266" s="81" t="s">
        <v>2264</v>
      </c>
      <c r="B1266" s="80">
        <v>4</v>
      </c>
      <c r="C1266" s="104">
        <v>0.0021774888595693428</v>
      </c>
      <c r="D1266" s="80" t="s">
        <v>2184</v>
      </c>
      <c r="E1266" s="80" t="b">
        <v>0</v>
      </c>
      <c r="F1266" s="80" t="b">
        <v>0</v>
      </c>
      <c r="G1266" s="80" t="b">
        <v>0</v>
      </c>
    </row>
    <row r="1267" spans="1:7" ht="15">
      <c r="A1267" s="81" t="s">
        <v>2451</v>
      </c>
      <c r="B1267" s="80">
        <v>4</v>
      </c>
      <c r="C1267" s="104">
        <v>0.0021774888595693428</v>
      </c>
      <c r="D1267" s="80" t="s">
        <v>2184</v>
      </c>
      <c r="E1267" s="80" t="b">
        <v>0</v>
      </c>
      <c r="F1267" s="80" t="b">
        <v>0</v>
      </c>
      <c r="G1267" s="80" t="b">
        <v>0</v>
      </c>
    </row>
    <row r="1268" spans="1:7" ht="15">
      <c r="A1268" s="81" t="s">
        <v>2265</v>
      </c>
      <c r="B1268" s="80">
        <v>4</v>
      </c>
      <c r="C1268" s="104">
        <v>0.0018279280475481394</v>
      </c>
      <c r="D1268" s="80" t="s">
        <v>2184</v>
      </c>
      <c r="E1268" s="80" t="b">
        <v>0</v>
      </c>
      <c r="F1268" s="80" t="b">
        <v>0</v>
      </c>
      <c r="G1268" s="80" t="b">
        <v>0</v>
      </c>
    </row>
    <row r="1269" spans="1:7" ht="15">
      <c r="A1269" s="81" t="s">
        <v>2237</v>
      </c>
      <c r="B1269" s="80">
        <v>4</v>
      </c>
      <c r="C1269" s="104">
        <v>0.0021774888595693428</v>
      </c>
      <c r="D1269" s="80" t="s">
        <v>2184</v>
      </c>
      <c r="E1269" s="80" t="b">
        <v>0</v>
      </c>
      <c r="F1269" s="80" t="b">
        <v>0</v>
      </c>
      <c r="G1269" s="80" t="b">
        <v>0</v>
      </c>
    </row>
    <row r="1270" spans="1:7" ht="15">
      <c r="A1270" s="81" t="s">
        <v>2292</v>
      </c>
      <c r="B1270" s="80">
        <v>4</v>
      </c>
      <c r="C1270" s="104">
        <v>0.001579910704405112</v>
      </c>
      <c r="D1270" s="80" t="s">
        <v>2184</v>
      </c>
      <c r="E1270" s="80" t="b">
        <v>0</v>
      </c>
      <c r="F1270" s="80" t="b">
        <v>0</v>
      </c>
      <c r="G1270" s="80" t="b">
        <v>0</v>
      </c>
    </row>
    <row r="1271" spans="1:7" ht="15">
      <c r="A1271" s="81" t="s">
        <v>2269</v>
      </c>
      <c r="B1271" s="80">
        <v>4</v>
      </c>
      <c r="C1271" s="104">
        <v>0.0018279280475481394</v>
      </c>
      <c r="D1271" s="80" t="s">
        <v>2184</v>
      </c>
      <c r="E1271" s="80" t="b">
        <v>0</v>
      </c>
      <c r="F1271" s="80" t="b">
        <v>0</v>
      </c>
      <c r="G1271" s="80" t="b">
        <v>0</v>
      </c>
    </row>
    <row r="1272" spans="1:7" ht="15">
      <c r="A1272" s="81" t="s">
        <v>2610</v>
      </c>
      <c r="B1272" s="80">
        <v>4</v>
      </c>
      <c r="C1272" s="104">
        <v>0.0021774888595693428</v>
      </c>
      <c r="D1272" s="80" t="s">
        <v>2184</v>
      </c>
      <c r="E1272" s="80" t="b">
        <v>0</v>
      </c>
      <c r="F1272" s="80" t="b">
        <v>0</v>
      </c>
      <c r="G1272" s="80" t="b">
        <v>0</v>
      </c>
    </row>
    <row r="1273" spans="1:7" ht="15">
      <c r="A1273" s="81" t="s">
        <v>2370</v>
      </c>
      <c r="B1273" s="80">
        <v>3</v>
      </c>
      <c r="C1273" s="104">
        <v>0.0013709460356611046</v>
      </c>
      <c r="D1273" s="80" t="s">
        <v>2184</v>
      </c>
      <c r="E1273" s="80" t="b">
        <v>0</v>
      </c>
      <c r="F1273" s="80" t="b">
        <v>0</v>
      </c>
      <c r="G1273" s="80" t="b">
        <v>0</v>
      </c>
    </row>
    <row r="1274" spans="1:7" ht="15">
      <c r="A1274" s="81" t="s">
        <v>2468</v>
      </c>
      <c r="B1274" s="80">
        <v>3</v>
      </c>
      <c r="C1274" s="104">
        <v>0.0013709460356611046</v>
      </c>
      <c r="D1274" s="80" t="s">
        <v>2184</v>
      </c>
      <c r="E1274" s="80" t="b">
        <v>0</v>
      </c>
      <c r="F1274" s="80" t="b">
        <v>0</v>
      </c>
      <c r="G1274" s="80" t="b">
        <v>0</v>
      </c>
    </row>
    <row r="1275" spans="1:7" ht="15">
      <c r="A1275" s="81" t="s">
        <v>2325</v>
      </c>
      <c r="B1275" s="80">
        <v>3</v>
      </c>
      <c r="C1275" s="104">
        <v>0.0013709460356611046</v>
      </c>
      <c r="D1275" s="80" t="s">
        <v>2184</v>
      </c>
      <c r="E1275" s="80" t="b">
        <v>0</v>
      </c>
      <c r="F1275" s="80" t="b">
        <v>0</v>
      </c>
      <c r="G1275" s="80" t="b">
        <v>0</v>
      </c>
    </row>
    <row r="1276" spans="1:7" ht="15">
      <c r="A1276" s="81" t="s">
        <v>2711</v>
      </c>
      <c r="B1276" s="80">
        <v>3</v>
      </c>
      <c r="C1276" s="104">
        <v>0.0013709460356611046</v>
      </c>
      <c r="D1276" s="80" t="s">
        <v>2184</v>
      </c>
      <c r="E1276" s="80" t="b">
        <v>0</v>
      </c>
      <c r="F1276" s="80" t="b">
        <v>0</v>
      </c>
      <c r="G1276" s="80" t="b">
        <v>0</v>
      </c>
    </row>
    <row r="1277" spans="1:7" ht="15">
      <c r="A1277" s="81" t="s">
        <v>2398</v>
      </c>
      <c r="B1277" s="80">
        <v>3</v>
      </c>
      <c r="C1277" s="104">
        <v>0.0013709460356611046</v>
      </c>
      <c r="D1277" s="80" t="s">
        <v>2184</v>
      </c>
      <c r="E1277" s="80" t="b">
        <v>0</v>
      </c>
      <c r="F1277" s="80" t="b">
        <v>0</v>
      </c>
      <c r="G1277" s="80" t="b">
        <v>0</v>
      </c>
    </row>
    <row r="1278" spans="1:7" ht="15">
      <c r="A1278" s="81" t="s">
        <v>2452</v>
      </c>
      <c r="B1278" s="80">
        <v>3</v>
      </c>
      <c r="C1278" s="104">
        <v>0.0013709460356611046</v>
      </c>
      <c r="D1278" s="80" t="s">
        <v>2184</v>
      </c>
      <c r="E1278" s="80" t="b">
        <v>0</v>
      </c>
      <c r="F1278" s="80" t="b">
        <v>0</v>
      </c>
      <c r="G1278" s="80" t="b">
        <v>0</v>
      </c>
    </row>
    <row r="1279" spans="1:7" ht="15">
      <c r="A1279" s="81" t="s">
        <v>2788</v>
      </c>
      <c r="B1279" s="80">
        <v>3</v>
      </c>
      <c r="C1279" s="104">
        <v>0.0013709460356611046</v>
      </c>
      <c r="D1279" s="80" t="s">
        <v>2184</v>
      </c>
      <c r="E1279" s="80" t="b">
        <v>0</v>
      </c>
      <c r="F1279" s="80" t="b">
        <v>0</v>
      </c>
      <c r="G1279" s="80" t="b">
        <v>0</v>
      </c>
    </row>
    <row r="1280" spans="1:7" ht="15">
      <c r="A1280" s="81" t="s">
        <v>2434</v>
      </c>
      <c r="B1280" s="80">
        <v>3</v>
      </c>
      <c r="C1280" s="104">
        <v>0.0013709460356611046</v>
      </c>
      <c r="D1280" s="80" t="s">
        <v>2184</v>
      </c>
      <c r="E1280" s="80" t="b">
        <v>0</v>
      </c>
      <c r="F1280" s="80" t="b">
        <v>0</v>
      </c>
      <c r="G1280" s="80" t="b">
        <v>0</v>
      </c>
    </row>
    <row r="1281" spans="1:7" ht="15">
      <c r="A1281" s="81" t="s">
        <v>2619</v>
      </c>
      <c r="B1281" s="80">
        <v>3</v>
      </c>
      <c r="C1281" s="104">
        <v>0.0013709460356611046</v>
      </c>
      <c r="D1281" s="80" t="s">
        <v>2184</v>
      </c>
      <c r="E1281" s="80" t="b">
        <v>0</v>
      </c>
      <c r="F1281" s="80" t="b">
        <v>0</v>
      </c>
      <c r="G1281" s="80" t="b">
        <v>0</v>
      </c>
    </row>
    <row r="1282" spans="1:7" ht="15">
      <c r="A1282" s="81" t="s">
        <v>2297</v>
      </c>
      <c r="B1282" s="80">
        <v>3</v>
      </c>
      <c r="C1282" s="104">
        <v>0.0013709460356611046</v>
      </c>
      <c r="D1282" s="80" t="s">
        <v>2184</v>
      </c>
      <c r="E1282" s="80" t="b">
        <v>0</v>
      </c>
      <c r="F1282" s="80" t="b">
        <v>0</v>
      </c>
      <c r="G1282" s="80" t="b">
        <v>0</v>
      </c>
    </row>
    <row r="1283" spans="1:7" ht="15">
      <c r="A1283" s="81" t="s">
        <v>2680</v>
      </c>
      <c r="B1283" s="80">
        <v>3</v>
      </c>
      <c r="C1283" s="104">
        <v>0.001633116644677007</v>
      </c>
      <c r="D1283" s="80" t="s">
        <v>2184</v>
      </c>
      <c r="E1283" s="80" t="b">
        <v>0</v>
      </c>
      <c r="F1283" s="80" t="b">
        <v>0</v>
      </c>
      <c r="G1283" s="80" t="b">
        <v>0</v>
      </c>
    </row>
    <row r="1284" spans="1:7" ht="15">
      <c r="A1284" s="81" t="s">
        <v>2842</v>
      </c>
      <c r="B1284" s="80">
        <v>3</v>
      </c>
      <c r="C1284" s="104">
        <v>0.0013709460356611046</v>
      </c>
      <c r="D1284" s="80" t="s">
        <v>2184</v>
      </c>
      <c r="E1284" s="80" t="b">
        <v>0</v>
      </c>
      <c r="F1284" s="80" t="b">
        <v>0</v>
      </c>
      <c r="G1284" s="80" t="b">
        <v>0</v>
      </c>
    </row>
    <row r="1285" spans="1:7" ht="15">
      <c r="A1285" s="81" t="s">
        <v>2561</v>
      </c>
      <c r="B1285" s="80">
        <v>3</v>
      </c>
      <c r="C1285" s="104">
        <v>0.0013709460356611046</v>
      </c>
      <c r="D1285" s="80" t="s">
        <v>2184</v>
      </c>
      <c r="E1285" s="80" t="b">
        <v>0</v>
      </c>
      <c r="F1285" s="80" t="b">
        <v>0</v>
      </c>
      <c r="G1285" s="80" t="b">
        <v>0</v>
      </c>
    </row>
    <row r="1286" spans="1:7" ht="15">
      <c r="A1286" s="81" t="s">
        <v>2359</v>
      </c>
      <c r="B1286" s="80">
        <v>3</v>
      </c>
      <c r="C1286" s="104">
        <v>0.0013709460356611046</v>
      </c>
      <c r="D1286" s="80" t="s">
        <v>2184</v>
      </c>
      <c r="E1286" s="80" t="b">
        <v>0</v>
      </c>
      <c r="F1286" s="80" t="b">
        <v>0</v>
      </c>
      <c r="G1286" s="80" t="b">
        <v>0</v>
      </c>
    </row>
    <row r="1287" spans="1:7" ht="15">
      <c r="A1287" s="81" t="s">
        <v>2538</v>
      </c>
      <c r="B1287" s="80">
        <v>3</v>
      </c>
      <c r="C1287" s="104">
        <v>0.0013709460356611046</v>
      </c>
      <c r="D1287" s="80" t="s">
        <v>2184</v>
      </c>
      <c r="E1287" s="80" t="b">
        <v>0</v>
      </c>
      <c r="F1287" s="80" t="b">
        <v>0</v>
      </c>
      <c r="G1287" s="80" t="b">
        <v>0</v>
      </c>
    </row>
    <row r="1288" spans="1:7" ht="15">
      <c r="A1288" s="81" t="s">
        <v>2778</v>
      </c>
      <c r="B1288" s="80">
        <v>3</v>
      </c>
      <c r="C1288" s="104">
        <v>0.00208130026105018</v>
      </c>
      <c r="D1288" s="80" t="s">
        <v>2184</v>
      </c>
      <c r="E1288" s="80" t="b">
        <v>0</v>
      </c>
      <c r="F1288" s="80" t="b">
        <v>0</v>
      </c>
      <c r="G1288" s="80" t="b">
        <v>0</v>
      </c>
    </row>
    <row r="1289" spans="1:7" ht="15">
      <c r="A1289" s="81" t="s">
        <v>2460</v>
      </c>
      <c r="B1289" s="80">
        <v>3</v>
      </c>
      <c r="C1289" s="104">
        <v>0.001633116644677007</v>
      </c>
      <c r="D1289" s="80" t="s">
        <v>2184</v>
      </c>
      <c r="E1289" s="80" t="b">
        <v>0</v>
      </c>
      <c r="F1289" s="80" t="b">
        <v>0</v>
      </c>
      <c r="G1289" s="80" t="b">
        <v>0</v>
      </c>
    </row>
    <row r="1290" spans="1:7" ht="15">
      <c r="A1290" s="81" t="s">
        <v>2603</v>
      </c>
      <c r="B1290" s="80">
        <v>3</v>
      </c>
      <c r="C1290" s="104">
        <v>0.0013709460356611046</v>
      </c>
      <c r="D1290" s="80" t="s">
        <v>2184</v>
      </c>
      <c r="E1290" s="80" t="b">
        <v>1</v>
      </c>
      <c r="F1290" s="80" t="b">
        <v>0</v>
      </c>
      <c r="G1290" s="80" t="b">
        <v>0</v>
      </c>
    </row>
    <row r="1291" spans="1:7" ht="15">
      <c r="A1291" s="81" t="s">
        <v>2783</v>
      </c>
      <c r="B1291" s="80">
        <v>3</v>
      </c>
      <c r="C1291" s="104">
        <v>0.0013709460356611046</v>
      </c>
      <c r="D1291" s="80" t="s">
        <v>2184</v>
      </c>
      <c r="E1291" s="80" t="b">
        <v>0</v>
      </c>
      <c r="F1291" s="80" t="b">
        <v>0</v>
      </c>
      <c r="G1291" s="80" t="b">
        <v>0</v>
      </c>
    </row>
    <row r="1292" spans="1:7" ht="15">
      <c r="A1292" s="81" t="s">
        <v>2734</v>
      </c>
      <c r="B1292" s="80">
        <v>3</v>
      </c>
      <c r="C1292" s="104">
        <v>0.0013709460356611046</v>
      </c>
      <c r="D1292" s="80" t="s">
        <v>2184</v>
      </c>
      <c r="E1292" s="80" t="b">
        <v>0</v>
      </c>
      <c r="F1292" s="80" t="b">
        <v>0</v>
      </c>
      <c r="G1292" s="80" t="b">
        <v>0</v>
      </c>
    </row>
    <row r="1293" spans="1:7" ht="15">
      <c r="A1293" s="81" t="s">
        <v>2759</v>
      </c>
      <c r="B1293" s="80">
        <v>3</v>
      </c>
      <c r="C1293" s="104">
        <v>0.00208130026105018</v>
      </c>
      <c r="D1293" s="80" t="s">
        <v>2184</v>
      </c>
      <c r="E1293" s="80" t="b">
        <v>0</v>
      </c>
      <c r="F1293" s="80" t="b">
        <v>0</v>
      </c>
      <c r="G1293" s="80" t="b">
        <v>0</v>
      </c>
    </row>
    <row r="1294" spans="1:7" ht="15">
      <c r="A1294" s="81" t="s">
        <v>2797</v>
      </c>
      <c r="B1294" s="80">
        <v>3</v>
      </c>
      <c r="C1294" s="104">
        <v>0.00208130026105018</v>
      </c>
      <c r="D1294" s="80" t="s">
        <v>2184</v>
      </c>
      <c r="E1294" s="80" t="b">
        <v>0</v>
      </c>
      <c r="F1294" s="80" t="b">
        <v>0</v>
      </c>
      <c r="G1294" s="80" t="b">
        <v>0</v>
      </c>
    </row>
    <row r="1295" spans="1:7" ht="15">
      <c r="A1295" s="81" t="s">
        <v>2258</v>
      </c>
      <c r="B1295" s="80">
        <v>3</v>
      </c>
      <c r="C1295" s="104">
        <v>0.0013709460356611046</v>
      </c>
      <c r="D1295" s="80" t="s">
        <v>2184</v>
      </c>
      <c r="E1295" s="80" t="b">
        <v>0</v>
      </c>
      <c r="F1295" s="80" t="b">
        <v>0</v>
      </c>
      <c r="G1295" s="80" t="b">
        <v>0</v>
      </c>
    </row>
    <row r="1296" spans="1:7" ht="15">
      <c r="A1296" s="81" t="s">
        <v>2813</v>
      </c>
      <c r="B1296" s="80">
        <v>3</v>
      </c>
      <c r="C1296" s="104">
        <v>0.001633116644677007</v>
      </c>
      <c r="D1296" s="80" t="s">
        <v>2184</v>
      </c>
      <c r="E1296" s="80" t="b">
        <v>0</v>
      </c>
      <c r="F1296" s="80" t="b">
        <v>0</v>
      </c>
      <c r="G1296" s="80" t="b">
        <v>0</v>
      </c>
    </row>
    <row r="1297" spans="1:7" ht="15">
      <c r="A1297" s="81" t="s">
        <v>2615</v>
      </c>
      <c r="B1297" s="80">
        <v>3</v>
      </c>
      <c r="C1297" s="104">
        <v>0.0013709460356611046</v>
      </c>
      <c r="D1297" s="80" t="s">
        <v>2184</v>
      </c>
      <c r="E1297" s="80" t="b">
        <v>0</v>
      </c>
      <c r="F1297" s="80" t="b">
        <v>0</v>
      </c>
      <c r="G1297" s="80" t="b">
        <v>0</v>
      </c>
    </row>
    <row r="1298" spans="1:7" ht="15">
      <c r="A1298" s="81" t="s">
        <v>2761</v>
      </c>
      <c r="B1298" s="80">
        <v>3</v>
      </c>
      <c r="C1298" s="104">
        <v>0.00208130026105018</v>
      </c>
      <c r="D1298" s="80" t="s">
        <v>2184</v>
      </c>
      <c r="E1298" s="80" t="b">
        <v>0</v>
      </c>
      <c r="F1298" s="80" t="b">
        <v>0</v>
      </c>
      <c r="G1298" s="80" t="b">
        <v>0</v>
      </c>
    </row>
    <row r="1299" spans="1:7" ht="15">
      <c r="A1299" s="81" t="s">
        <v>2500</v>
      </c>
      <c r="B1299" s="80">
        <v>3</v>
      </c>
      <c r="C1299" s="104">
        <v>0.0013709460356611046</v>
      </c>
      <c r="D1299" s="80" t="s">
        <v>2184</v>
      </c>
      <c r="E1299" s="80" t="b">
        <v>0</v>
      </c>
      <c r="F1299" s="80" t="b">
        <v>0</v>
      </c>
      <c r="G1299" s="80" t="b">
        <v>0</v>
      </c>
    </row>
    <row r="1300" spans="1:7" ht="15">
      <c r="A1300" s="81" t="s">
        <v>2520</v>
      </c>
      <c r="B1300" s="80">
        <v>3</v>
      </c>
      <c r="C1300" s="104">
        <v>0.0013709460356611046</v>
      </c>
      <c r="D1300" s="80" t="s">
        <v>2184</v>
      </c>
      <c r="E1300" s="80" t="b">
        <v>0</v>
      </c>
      <c r="F1300" s="80" t="b">
        <v>0</v>
      </c>
      <c r="G1300" s="80" t="b">
        <v>0</v>
      </c>
    </row>
    <row r="1301" spans="1:7" ht="15">
      <c r="A1301" s="81" t="s">
        <v>2854</v>
      </c>
      <c r="B1301" s="80">
        <v>3</v>
      </c>
      <c r="C1301" s="104">
        <v>0.00208130026105018</v>
      </c>
      <c r="D1301" s="80" t="s">
        <v>2184</v>
      </c>
      <c r="E1301" s="80" t="b">
        <v>0</v>
      </c>
      <c r="F1301" s="80" t="b">
        <v>0</v>
      </c>
      <c r="G1301" s="80" t="b">
        <v>0</v>
      </c>
    </row>
    <row r="1302" spans="1:7" ht="15">
      <c r="A1302" s="81" t="s">
        <v>2710</v>
      </c>
      <c r="B1302" s="80">
        <v>3</v>
      </c>
      <c r="C1302" s="104">
        <v>0.0013709460356611046</v>
      </c>
      <c r="D1302" s="80" t="s">
        <v>2184</v>
      </c>
      <c r="E1302" s="80" t="b">
        <v>0</v>
      </c>
      <c r="F1302" s="80" t="b">
        <v>0</v>
      </c>
      <c r="G1302" s="80" t="b">
        <v>0</v>
      </c>
    </row>
    <row r="1303" spans="1:7" ht="15">
      <c r="A1303" s="81" t="s">
        <v>2817</v>
      </c>
      <c r="B1303" s="80">
        <v>3</v>
      </c>
      <c r="C1303" s="104">
        <v>0.0013709460356611046</v>
      </c>
      <c r="D1303" s="80" t="s">
        <v>2184</v>
      </c>
      <c r="E1303" s="80" t="b">
        <v>0</v>
      </c>
      <c r="F1303" s="80" t="b">
        <v>0</v>
      </c>
      <c r="G1303" s="80" t="b">
        <v>0</v>
      </c>
    </row>
    <row r="1304" spans="1:7" ht="15">
      <c r="A1304" s="81" t="s">
        <v>2355</v>
      </c>
      <c r="B1304" s="80">
        <v>3</v>
      </c>
      <c r="C1304" s="104">
        <v>0.0013709460356611046</v>
      </c>
      <c r="D1304" s="80" t="s">
        <v>2184</v>
      </c>
      <c r="E1304" s="80" t="b">
        <v>0</v>
      </c>
      <c r="F1304" s="80" t="b">
        <v>0</v>
      </c>
      <c r="G1304" s="80" t="b">
        <v>0</v>
      </c>
    </row>
    <row r="1305" spans="1:7" ht="15">
      <c r="A1305" s="81" t="s">
        <v>2649</v>
      </c>
      <c r="B1305" s="80">
        <v>3</v>
      </c>
      <c r="C1305" s="104">
        <v>0.00208130026105018</v>
      </c>
      <c r="D1305" s="80" t="s">
        <v>2184</v>
      </c>
      <c r="E1305" s="80" t="b">
        <v>0</v>
      </c>
      <c r="F1305" s="80" t="b">
        <v>0</v>
      </c>
      <c r="G1305" s="80" t="b">
        <v>0</v>
      </c>
    </row>
    <row r="1306" spans="1:7" ht="15">
      <c r="A1306" s="81" t="s">
        <v>2390</v>
      </c>
      <c r="B1306" s="80">
        <v>3</v>
      </c>
      <c r="C1306" s="104">
        <v>0.0013709460356611046</v>
      </c>
      <c r="D1306" s="80" t="s">
        <v>2184</v>
      </c>
      <c r="E1306" s="80" t="b">
        <v>0</v>
      </c>
      <c r="F1306" s="80" t="b">
        <v>0</v>
      </c>
      <c r="G1306" s="80" t="b">
        <v>0</v>
      </c>
    </row>
    <row r="1307" spans="1:7" ht="15">
      <c r="A1307" s="81" t="s">
        <v>2337</v>
      </c>
      <c r="B1307" s="80">
        <v>3</v>
      </c>
      <c r="C1307" s="104">
        <v>0.001633116644677007</v>
      </c>
      <c r="D1307" s="80" t="s">
        <v>2184</v>
      </c>
      <c r="E1307" s="80" t="b">
        <v>0</v>
      </c>
      <c r="F1307" s="80" t="b">
        <v>0</v>
      </c>
      <c r="G1307" s="80" t="b">
        <v>0</v>
      </c>
    </row>
    <row r="1308" spans="1:7" ht="15">
      <c r="A1308" s="81" t="s">
        <v>2303</v>
      </c>
      <c r="B1308" s="80">
        <v>3</v>
      </c>
      <c r="C1308" s="104">
        <v>0.0013709460356611046</v>
      </c>
      <c r="D1308" s="80" t="s">
        <v>2184</v>
      </c>
      <c r="E1308" s="80" t="b">
        <v>0</v>
      </c>
      <c r="F1308" s="80" t="b">
        <v>0</v>
      </c>
      <c r="G1308" s="80" t="b">
        <v>0</v>
      </c>
    </row>
    <row r="1309" spans="1:7" ht="15">
      <c r="A1309" s="81" t="s">
        <v>2803</v>
      </c>
      <c r="B1309" s="80">
        <v>3</v>
      </c>
      <c r="C1309" s="104">
        <v>0.001633116644677007</v>
      </c>
      <c r="D1309" s="80" t="s">
        <v>2184</v>
      </c>
      <c r="E1309" s="80" t="b">
        <v>0</v>
      </c>
      <c r="F1309" s="80" t="b">
        <v>0</v>
      </c>
      <c r="G1309" s="80" t="b">
        <v>0</v>
      </c>
    </row>
    <row r="1310" spans="1:7" ht="15">
      <c r="A1310" s="81" t="s">
        <v>2874</v>
      </c>
      <c r="B1310" s="80">
        <v>3</v>
      </c>
      <c r="C1310" s="104">
        <v>0.0013709460356611046</v>
      </c>
      <c r="D1310" s="80" t="s">
        <v>2184</v>
      </c>
      <c r="E1310" s="80" t="b">
        <v>0</v>
      </c>
      <c r="F1310" s="80" t="b">
        <v>0</v>
      </c>
      <c r="G1310" s="80" t="b">
        <v>0</v>
      </c>
    </row>
    <row r="1311" spans="1:7" ht="15">
      <c r="A1311" s="81" t="s">
        <v>2317</v>
      </c>
      <c r="B1311" s="80">
        <v>3</v>
      </c>
      <c r="C1311" s="104">
        <v>0.0013709460356611046</v>
      </c>
      <c r="D1311" s="80" t="s">
        <v>2184</v>
      </c>
      <c r="E1311" s="80" t="b">
        <v>0</v>
      </c>
      <c r="F1311" s="80" t="b">
        <v>0</v>
      </c>
      <c r="G1311" s="80" t="b">
        <v>0</v>
      </c>
    </row>
    <row r="1312" spans="1:7" ht="15">
      <c r="A1312" s="81" t="s">
        <v>2501</v>
      </c>
      <c r="B1312" s="80">
        <v>3</v>
      </c>
      <c r="C1312" s="104">
        <v>0.0013709460356611046</v>
      </c>
      <c r="D1312" s="80" t="s">
        <v>2184</v>
      </c>
      <c r="E1312" s="80" t="b">
        <v>0</v>
      </c>
      <c r="F1312" s="80" t="b">
        <v>0</v>
      </c>
      <c r="G1312" s="80" t="b">
        <v>0</v>
      </c>
    </row>
    <row r="1313" spans="1:7" ht="15">
      <c r="A1313" s="81" t="s">
        <v>2361</v>
      </c>
      <c r="B1313" s="80">
        <v>3</v>
      </c>
      <c r="C1313" s="104">
        <v>0.0013709460356611046</v>
      </c>
      <c r="D1313" s="80" t="s">
        <v>2184</v>
      </c>
      <c r="E1313" s="80" t="b">
        <v>0</v>
      </c>
      <c r="F1313" s="80" t="b">
        <v>0</v>
      </c>
      <c r="G1313" s="80" t="b">
        <v>0</v>
      </c>
    </row>
    <row r="1314" spans="1:7" ht="15">
      <c r="A1314" s="81" t="s">
        <v>2485</v>
      </c>
      <c r="B1314" s="80">
        <v>3</v>
      </c>
      <c r="C1314" s="104">
        <v>0.0013709460356611046</v>
      </c>
      <c r="D1314" s="80" t="s">
        <v>2184</v>
      </c>
      <c r="E1314" s="80" t="b">
        <v>0</v>
      </c>
      <c r="F1314" s="80" t="b">
        <v>0</v>
      </c>
      <c r="G1314" s="80" t="b">
        <v>0</v>
      </c>
    </row>
    <row r="1315" spans="1:7" ht="15">
      <c r="A1315" s="81" t="s">
        <v>2773</v>
      </c>
      <c r="B1315" s="80">
        <v>3</v>
      </c>
      <c r="C1315" s="104">
        <v>0.0013709460356611046</v>
      </c>
      <c r="D1315" s="80" t="s">
        <v>2184</v>
      </c>
      <c r="E1315" s="80" t="b">
        <v>0</v>
      </c>
      <c r="F1315" s="80" t="b">
        <v>0</v>
      </c>
      <c r="G1315" s="80" t="b">
        <v>0</v>
      </c>
    </row>
    <row r="1316" spans="1:7" ht="15">
      <c r="A1316" s="81" t="s">
        <v>2866</v>
      </c>
      <c r="B1316" s="80">
        <v>3</v>
      </c>
      <c r="C1316" s="104">
        <v>0.0013709460356611046</v>
      </c>
      <c r="D1316" s="80" t="s">
        <v>2184</v>
      </c>
      <c r="E1316" s="80" t="b">
        <v>0</v>
      </c>
      <c r="F1316" s="80" t="b">
        <v>0</v>
      </c>
      <c r="G1316" s="80" t="b">
        <v>0</v>
      </c>
    </row>
    <row r="1317" spans="1:7" ht="15">
      <c r="A1317" s="81" t="s">
        <v>2686</v>
      </c>
      <c r="B1317" s="80">
        <v>3</v>
      </c>
      <c r="C1317" s="104">
        <v>0.00208130026105018</v>
      </c>
      <c r="D1317" s="80" t="s">
        <v>2184</v>
      </c>
      <c r="E1317" s="80" t="b">
        <v>0</v>
      </c>
      <c r="F1317" s="80" t="b">
        <v>0</v>
      </c>
      <c r="G1317" s="80" t="b">
        <v>0</v>
      </c>
    </row>
    <row r="1318" spans="1:7" ht="15">
      <c r="A1318" s="81" t="s">
        <v>2651</v>
      </c>
      <c r="B1318" s="80">
        <v>3</v>
      </c>
      <c r="C1318" s="104">
        <v>0.001633116644677007</v>
      </c>
      <c r="D1318" s="80" t="s">
        <v>2184</v>
      </c>
      <c r="E1318" s="80" t="b">
        <v>0</v>
      </c>
      <c r="F1318" s="80" t="b">
        <v>0</v>
      </c>
      <c r="G1318" s="80" t="b">
        <v>0</v>
      </c>
    </row>
    <row r="1319" spans="1:7" ht="15">
      <c r="A1319" s="81" t="s">
        <v>2472</v>
      </c>
      <c r="B1319" s="80">
        <v>3</v>
      </c>
      <c r="C1319" s="104">
        <v>0.0013709460356611046</v>
      </c>
      <c r="D1319" s="80" t="s">
        <v>2184</v>
      </c>
      <c r="E1319" s="80" t="b">
        <v>0</v>
      </c>
      <c r="F1319" s="80" t="b">
        <v>0</v>
      </c>
      <c r="G1319" s="80" t="b">
        <v>0</v>
      </c>
    </row>
    <row r="1320" spans="1:7" ht="15">
      <c r="A1320" s="81" t="s">
        <v>2612</v>
      </c>
      <c r="B1320" s="80">
        <v>3</v>
      </c>
      <c r="C1320" s="104">
        <v>0.0013709460356611046</v>
      </c>
      <c r="D1320" s="80" t="s">
        <v>2184</v>
      </c>
      <c r="E1320" s="80" t="b">
        <v>0</v>
      </c>
      <c r="F1320" s="80" t="b">
        <v>0</v>
      </c>
      <c r="G1320" s="80" t="b">
        <v>0</v>
      </c>
    </row>
    <row r="1321" spans="1:7" ht="15">
      <c r="A1321" s="81" t="s">
        <v>2702</v>
      </c>
      <c r="B1321" s="80">
        <v>3</v>
      </c>
      <c r="C1321" s="104">
        <v>0.0013709460356611046</v>
      </c>
      <c r="D1321" s="80" t="s">
        <v>2184</v>
      </c>
      <c r="E1321" s="80" t="b">
        <v>0</v>
      </c>
      <c r="F1321" s="80" t="b">
        <v>0</v>
      </c>
      <c r="G1321" s="80" t="b">
        <v>0</v>
      </c>
    </row>
    <row r="1322" spans="1:7" ht="15">
      <c r="A1322" s="81" t="s">
        <v>2861</v>
      </c>
      <c r="B1322" s="80">
        <v>3</v>
      </c>
      <c r="C1322" s="104">
        <v>0.00208130026105018</v>
      </c>
      <c r="D1322" s="80" t="s">
        <v>2184</v>
      </c>
      <c r="E1322" s="80" t="b">
        <v>0</v>
      </c>
      <c r="F1322" s="80" t="b">
        <v>0</v>
      </c>
      <c r="G1322" s="80" t="b">
        <v>0</v>
      </c>
    </row>
    <row r="1323" spans="1:7" ht="15">
      <c r="A1323" s="81" t="s">
        <v>2464</v>
      </c>
      <c r="B1323" s="80">
        <v>3</v>
      </c>
      <c r="C1323" s="104">
        <v>0.0013709460356611046</v>
      </c>
      <c r="D1323" s="80" t="s">
        <v>2184</v>
      </c>
      <c r="E1323" s="80" t="b">
        <v>0</v>
      </c>
      <c r="F1323" s="80" t="b">
        <v>0</v>
      </c>
      <c r="G1323" s="80" t="b">
        <v>0</v>
      </c>
    </row>
    <row r="1324" spans="1:7" ht="15">
      <c r="A1324" s="81" t="s">
        <v>2334</v>
      </c>
      <c r="B1324" s="80">
        <v>3</v>
      </c>
      <c r="C1324" s="104">
        <v>0.0013709460356611046</v>
      </c>
      <c r="D1324" s="80" t="s">
        <v>2184</v>
      </c>
      <c r="E1324" s="80" t="b">
        <v>0</v>
      </c>
      <c r="F1324" s="80" t="b">
        <v>0</v>
      </c>
      <c r="G1324" s="80" t="b">
        <v>0</v>
      </c>
    </row>
    <row r="1325" spans="1:7" ht="15">
      <c r="A1325" s="81" t="s">
        <v>2403</v>
      </c>
      <c r="B1325" s="80">
        <v>3</v>
      </c>
      <c r="C1325" s="104">
        <v>0.0013709460356611046</v>
      </c>
      <c r="D1325" s="80" t="s">
        <v>2184</v>
      </c>
      <c r="E1325" s="80" t="b">
        <v>0</v>
      </c>
      <c r="F1325" s="80" t="b">
        <v>0</v>
      </c>
      <c r="G1325" s="80" t="b">
        <v>0</v>
      </c>
    </row>
    <row r="1326" spans="1:7" ht="15">
      <c r="A1326" s="81" t="s">
        <v>2725</v>
      </c>
      <c r="B1326" s="80">
        <v>3</v>
      </c>
      <c r="C1326" s="104">
        <v>0.0013709460356611046</v>
      </c>
      <c r="D1326" s="80" t="s">
        <v>2184</v>
      </c>
      <c r="E1326" s="80" t="b">
        <v>0</v>
      </c>
      <c r="F1326" s="80" t="b">
        <v>0</v>
      </c>
      <c r="G1326" s="80" t="b">
        <v>0</v>
      </c>
    </row>
    <row r="1327" spans="1:7" ht="15">
      <c r="A1327" s="81" t="s">
        <v>2282</v>
      </c>
      <c r="B1327" s="80">
        <v>3</v>
      </c>
      <c r="C1327" s="104">
        <v>0.0013709460356611046</v>
      </c>
      <c r="D1327" s="80" t="s">
        <v>2184</v>
      </c>
      <c r="E1327" s="80" t="b">
        <v>0</v>
      </c>
      <c r="F1327" s="80" t="b">
        <v>0</v>
      </c>
      <c r="G1327" s="80" t="b">
        <v>0</v>
      </c>
    </row>
    <row r="1328" spans="1:7" ht="15">
      <c r="A1328" s="81" t="s">
        <v>2657</v>
      </c>
      <c r="B1328" s="80">
        <v>3</v>
      </c>
      <c r="C1328" s="104">
        <v>0.0013709460356611046</v>
      </c>
      <c r="D1328" s="80" t="s">
        <v>2184</v>
      </c>
      <c r="E1328" s="80" t="b">
        <v>0</v>
      </c>
      <c r="F1328" s="80" t="b">
        <v>0</v>
      </c>
      <c r="G1328" s="80" t="b">
        <v>0</v>
      </c>
    </row>
    <row r="1329" spans="1:7" ht="15">
      <c r="A1329" s="81" t="s">
        <v>2791</v>
      </c>
      <c r="B1329" s="80">
        <v>3</v>
      </c>
      <c r="C1329" s="104">
        <v>0.0013709460356611046</v>
      </c>
      <c r="D1329" s="80" t="s">
        <v>2184</v>
      </c>
      <c r="E1329" s="80" t="b">
        <v>0</v>
      </c>
      <c r="F1329" s="80" t="b">
        <v>0</v>
      </c>
      <c r="G1329" s="80" t="b">
        <v>0</v>
      </c>
    </row>
    <row r="1330" spans="1:7" ht="15">
      <c r="A1330" s="81" t="s">
        <v>2780</v>
      </c>
      <c r="B1330" s="80">
        <v>3</v>
      </c>
      <c r="C1330" s="104">
        <v>0.001633116644677007</v>
      </c>
      <c r="D1330" s="80" t="s">
        <v>2184</v>
      </c>
      <c r="E1330" s="80" t="b">
        <v>0</v>
      </c>
      <c r="F1330" s="80" t="b">
        <v>0</v>
      </c>
      <c r="G1330" s="80" t="b">
        <v>0</v>
      </c>
    </row>
    <row r="1331" spans="1:7" ht="15">
      <c r="A1331" s="81" t="s">
        <v>2482</v>
      </c>
      <c r="B1331" s="80">
        <v>3</v>
      </c>
      <c r="C1331" s="104">
        <v>0.0013709460356611046</v>
      </c>
      <c r="D1331" s="80" t="s">
        <v>2184</v>
      </c>
      <c r="E1331" s="80" t="b">
        <v>0</v>
      </c>
      <c r="F1331" s="80" t="b">
        <v>0</v>
      </c>
      <c r="G1331" s="80" t="b">
        <v>0</v>
      </c>
    </row>
    <row r="1332" spans="1:7" ht="15">
      <c r="A1332" s="81" t="s">
        <v>2343</v>
      </c>
      <c r="B1332" s="80">
        <v>3</v>
      </c>
      <c r="C1332" s="104">
        <v>0.0013709460356611046</v>
      </c>
      <c r="D1332" s="80" t="s">
        <v>2184</v>
      </c>
      <c r="E1332" s="80" t="b">
        <v>0</v>
      </c>
      <c r="F1332" s="80" t="b">
        <v>0</v>
      </c>
      <c r="G1332" s="80" t="b">
        <v>0</v>
      </c>
    </row>
    <row r="1333" spans="1:7" ht="15">
      <c r="A1333" s="81" t="s">
        <v>2624</v>
      </c>
      <c r="B1333" s="80">
        <v>3</v>
      </c>
      <c r="C1333" s="104">
        <v>0.001633116644677007</v>
      </c>
      <c r="D1333" s="80" t="s">
        <v>2184</v>
      </c>
      <c r="E1333" s="80" t="b">
        <v>0</v>
      </c>
      <c r="F1333" s="80" t="b">
        <v>0</v>
      </c>
      <c r="G1333" s="80" t="b">
        <v>0</v>
      </c>
    </row>
    <row r="1334" spans="1:7" ht="15">
      <c r="A1334" s="81" t="s">
        <v>2733</v>
      </c>
      <c r="B1334" s="80">
        <v>3</v>
      </c>
      <c r="C1334" s="104">
        <v>0.001633116644677007</v>
      </c>
      <c r="D1334" s="80" t="s">
        <v>2184</v>
      </c>
      <c r="E1334" s="80" t="b">
        <v>0</v>
      </c>
      <c r="F1334" s="80" t="b">
        <v>0</v>
      </c>
      <c r="G1334" s="80" t="b">
        <v>0</v>
      </c>
    </row>
    <row r="1335" spans="1:7" ht="15">
      <c r="A1335" s="81" t="s">
        <v>2450</v>
      </c>
      <c r="B1335" s="80">
        <v>3</v>
      </c>
      <c r="C1335" s="104">
        <v>0.0013709460356611046</v>
      </c>
      <c r="D1335" s="80" t="s">
        <v>2184</v>
      </c>
      <c r="E1335" s="80" t="b">
        <v>0</v>
      </c>
      <c r="F1335" s="80" t="b">
        <v>0</v>
      </c>
      <c r="G1335" s="80" t="b">
        <v>0</v>
      </c>
    </row>
    <row r="1336" spans="1:7" ht="15">
      <c r="A1336" s="81" t="s">
        <v>2493</v>
      </c>
      <c r="B1336" s="80">
        <v>3</v>
      </c>
      <c r="C1336" s="104">
        <v>0.001633116644677007</v>
      </c>
      <c r="D1336" s="80" t="s">
        <v>2184</v>
      </c>
      <c r="E1336" s="80" t="b">
        <v>0</v>
      </c>
      <c r="F1336" s="80" t="b">
        <v>0</v>
      </c>
      <c r="G1336" s="80" t="b">
        <v>0</v>
      </c>
    </row>
    <row r="1337" spans="1:7" ht="15">
      <c r="A1337" s="81" t="s">
        <v>2351</v>
      </c>
      <c r="B1337" s="80">
        <v>3</v>
      </c>
      <c r="C1337" s="104">
        <v>0.0013709460356611046</v>
      </c>
      <c r="D1337" s="80" t="s">
        <v>2184</v>
      </c>
      <c r="E1337" s="80" t="b">
        <v>0</v>
      </c>
      <c r="F1337" s="80" t="b">
        <v>0</v>
      </c>
      <c r="G1337" s="80" t="b">
        <v>0</v>
      </c>
    </row>
    <row r="1338" spans="1:7" ht="15">
      <c r="A1338" s="81" t="s">
        <v>2712</v>
      </c>
      <c r="B1338" s="80">
        <v>3</v>
      </c>
      <c r="C1338" s="104">
        <v>0.0013709460356611046</v>
      </c>
      <c r="D1338" s="80" t="s">
        <v>2184</v>
      </c>
      <c r="E1338" s="80" t="b">
        <v>0</v>
      </c>
      <c r="F1338" s="80" t="b">
        <v>0</v>
      </c>
      <c r="G1338" s="80" t="b">
        <v>0</v>
      </c>
    </row>
    <row r="1339" spans="1:7" ht="15">
      <c r="A1339" s="81" t="s">
        <v>2860</v>
      </c>
      <c r="B1339" s="80">
        <v>3</v>
      </c>
      <c r="C1339" s="104">
        <v>0.0013709460356611046</v>
      </c>
      <c r="D1339" s="80" t="s">
        <v>2184</v>
      </c>
      <c r="E1339" s="80" t="b">
        <v>0</v>
      </c>
      <c r="F1339" s="80" t="b">
        <v>0</v>
      </c>
      <c r="G1339" s="80" t="b">
        <v>0</v>
      </c>
    </row>
    <row r="1340" spans="1:7" ht="15">
      <c r="A1340" s="81" t="s">
        <v>2787</v>
      </c>
      <c r="B1340" s="80">
        <v>3</v>
      </c>
      <c r="C1340" s="104">
        <v>0.001633116644677007</v>
      </c>
      <c r="D1340" s="80" t="s">
        <v>2184</v>
      </c>
      <c r="E1340" s="80" t="b">
        <v>0</v>
      </c>
      <c r="F1340" s="80" t="b">
        <v>0</v>
      </c>
      <c r="G1340" s="80" t="b">
        <v>0</v>
      </c>
    </row>
    <row r="1341" spans="1:7" ht="15">
      <c r="A1341" s="81" t="s">
        <v>2611</v>
      </c>
      <c r="B1341" s="80">
        <v>3</v>
      </c>
      <c r="C1341" s="104">
        <v>0.0013709460356611046</v>
      </c>
      <c r="D1341" s="80" t="s">
        <v>2184</v>
      </c>
      <c r="E1341" s="80" t="b">
        <v>0</v>
      </c>
      <c r="F1341" s="80" t="b">
        <v>0</v>
      </c>
      <c r="G1341" s="80" t="b">
        <v>0</v>
      </c>
    </row>
    <row r="1342" spans="1:7" ht="15">
      <c r="A1342" s="81" t="s">
        <v>2375</v>
      </c>
      <c r="B1342" s="80">
        <v>3</v>
      </c>
      <c r="C1342" s="104">
        <v>0.00208130026105018</v>
      </c>
      <c r="D1342" s="80" t="s">
        <v>2184</v>
      </c>
      <c r="E1342" s="80" t="b">
        <v>0</v>
      </c>
      <c r="F1342" s="80" t="b">
        <v>0</v>
      </c>
      <c r="G1342" s="80" t="b">
        <v>0</v>
      </c>
    </row>
    <row r="1343" spans="1:7" ht="15">
      <c r="A1343" s="81" t="s">
        <v>2300</v>
      </c>
      <c r="B1343" s="80">
        <v>3</v>
      </c>
      <c r="C1343" s="104">
        <v>0.0013709460356611046</v>
      </c>
      <c r="D1343" s="80" t="s">
        <v>2184</v>
      </c>
      <c r="E1343" s="80" t="b">
        <v>0</v>
      </c>
      <c r="F1343" s="80" t="b">
        <v>0</v>
      </c>
      <c r="G1343" s="80" t="b">
        <v>0</v>
      </c>
    </row>
    <row r="1344" spans="1:7" ht="15">
      <c r="A1344" s="81" t="s">
        <v>2314</v>
      </c>
      <c r="B1344" s="80">
        <v>3</v>
      </c>
      <c r="C1344" s="104">
        <v>0.0013709460356611046</v>
      </c>
      <c r="D1344" s="80" t="s">
        <v>2184</v>
      </c>
      <c r="E1344" s="80" t="b">
        <v>0</v>
      </c>
      <c r="F1344" s="80" t="b">
        <v>0</v>
      </c>
      <c r="G1344" s="80" t="b">
        <v>0</v>
      </c>
    </row>
    <row r="1345" spans="1:7" ht="15">
      <c r="A1345" s="81" t="s">
        <v>2384</v>
      </c>
      <c r="B1345" s="80">
        <v>3</v>
      </c>
      <c r="C1345" s="104">
        <v>0.0013709460356611046</v>
      </c>
      <c r="D1345" s="80" t="s">
        <v>2184</v>
      </c>
      <c r="E1345" s="80" t="b">
        <v>0</v>
      </c>
      <c r="F1345" s="80" t="b">
        <v>0</v>
      </c>
      <c r="G1345" s="80" t="b">
        <v>0</v>
      </c>
    </row>
    <row r="1346" spans="1:7" ht="15">
      <c r="A1346" s="81" t="s">
        <v>2339</v>
      </c>
      <c r="B1346" s="80">
        <v>3</v>
      </c>
      <c r="C1346" s="104">
        <v>0.0013709460356611046</v>
      </c>
      <c r="D1346" s="80" t="s">
        <v>2184</v>
      </c>
      <c r="E1346" s="80" t="b">
        <v>0</v>
      </c>
      <c r="F1346" s="80" t="b">
        <v>0</v>
      </c>
      <c r="G1346" s="80" t="b">
        <v>0</v>
      </c>
    </row>
    <row r="1347" spans="1:7" ht="15">
      <c r="A1347" s="81" t="s">
        <v>2656</v>
      </c>
      <c r="B1347" s="80">
        <v>3</v>
      </c>
      <c r="C1347" s="104">
        <v>0.0013709460356611046</v>
      </c>
      <c r="D1347" s="80" t="s">
        <v>2184</v>
      </c>
      <c r="E1347" s="80" t="b">
        <v>0</v>
      </c>
      <c r="F1347" s="80" t="b">
        <v>0</v>
      </c>
      <c r="G1347" s="80" t="b">
        <v>0</v>
      </c>
    </row>
    <row r="1348" spans="1:7" ht="15">
      <c r="A1348" s="81" t="s">
        <v>2498</v>
      </c>
      <c r="B1348" s="80">
        <v>3</v>
      </c>
      <c r="C1348" s="104">
        <v>0.001633116644677007</v>
      </c>
      <c r="D1348" s="80" t="s">
        <v>2184</v>
      </c>
      <c r="E1348" s="80" t="b">
        <v>0</v>
      </c>
      <c r="F1348" s="80" t="b">
        <v>0</v>
      </c>
      <c r="G1348" s="80" t="b">
        <v>0</v>
      </c>
    </row>
    <row r="1349" spans="1:7" ht="15">
      <c r="A1349" s="81" t="s">
        <v>2372</v>
      </c>
      <c r="B1349" s="80">
        <v>3</v>
      </c>
      <c r="C1349" s="104">
        <v>0.0013709460356611046</v>
      </c>
      <c r="D1349" s="80" t="s">
        <v>2184</v>
      </c>
      <c r="E1349" s="80" t="b">
        <v>0</v>
      </c>
      <c r="F1349" s="80" t="b">
        <v>0</v>
      </c>
      <c r="G1349" s="80" t="b">
        <v>0</v>
      </c>
    </row>
    <row r="1350" spans="1:7" ht="15">
      <c r="A1350" s="81" t="s">
        <v>2837</v>
      </c>
      <c r="B1350" s="80">
        <v>3</v>
      </c>
      <c r="C1350" s="104">
        <v>0.0013709460356611046</v>
      </c>
      <c r="D1350" s="80" t="s">
        <v>2184</v>
      </c>
      <c r="E1350" s="80" t="b">
        <v>0</v>
      </c>
      <c r="F1350" s="80" t="b">
        <v>0</v>
      </c>
      <c r="G1350" s="80" t="b">
        <v>0</v>
      </c>
    </row>
    <row r="1351" spans="1:7" ht="15">
      <c r="A1351" s="81" t="s">
        <v>2283</v>
      </c>
      <c r="B1351" s="80">
        <v>3</v>
      </c>
      <c r="C1351" s="104">
        <v>0.0013709460356611046</v>
      </c>
      <c r="D1351" s="80" t="s">
        <v>2184</v>
      </c>
      <c r="E1351" s="80" t="b">
        <v>0</v>
      </c>
      <c r="F1351" s="80" t="b">
        <v>0</v>
      </c>
      <c r="G1351" s="80" t="b">
        <v>0</v>
      </c>
    </row>
    <row r="1352" spans="1:7" ht="15">
      <c r="A1352" s="81" t="s">
        <v>2427</v>
      </c>
      <c r="B1352" s="80">
        <v>3</v>
      </c>
      <c r="C1352" s="104">
        <v>0.0013709460356611046</v>
      </c>
      <c r="D1352" s="80" t="s">
        <v>2184</v>
      </c>
      <c r="E1352" s="80" t="b">
        <v>0</v>
      </c>
      <c r="F1352" s="80" t="b">
        <v>0</v>
      </c>
      <c r="G1352" s="80" t="b">
        <v>0</v>
      </c>
    </row>
    <row r="1353" spans="1:7" ht="15">
      <c r="A1353" s="81" t="s">
        <v>2541</v>
      </c>
      <c r="B1353" s="80">
        <v>2</v>
      </c>
      <c r="C1353" s="104">
        <v>0.0010887444297846714</v>
      </c>
      <c r="D1353" s="80" t="s">
        <v>2184</v>
      </c>
      <c r="E1353" s="80" t="b">
        <v>0</v>
      </c>
      <c r="F1353" s="80" t="b">
        <v>0</v>
      </c>
      <c r="G1353" s="80" t="b">
        <v>0</v>
      </c>
    </row>
    <row r="1354" spans="1:7" ht="15">
      <c r="A1354" s="81" t="s">
        <v>2992</v>
      </c>
      <c r="B1354" s="80">
        <v>2</v>
      </c>
      <c r="C1354" s="104">
        <v>0.0013875335073667869</v>
      </c>
      <c r="D1354" s="80" t="s">
        <v>2184</v>
      </c>
      <c r="E1354" s="80" t="b">
        <v>0</v>
      </c>
      <c r="F1354" s="80" t="b">
        <v>0</v>
      </c>
      <c r="G1354" s="80" t="b">
        <v>0</v>
      </c>
    </row>
    <row r="1355" spans="1:7" ht="15">
      <c r="A1355" s="81" t="s">
        <v>2530</v>
      </c>
      <c r="B1355" s="80">
        <v>2</v>
      </c>
      <c r="C1355" s="104">
        <v>0.0010887444297846714</v>
      </c>
      <c r="D1355" s="80" t="s">
        <v>2184</v>
      </c>
      <c r="E1355" s="80" t="b">
        <v>0</v>
      </c>
      <c r="F1355" s="80" t="b">
        <v>0</v>
      </c>
      <c r="G1355" s="80" t="b">
        <v>0</v>
      </c>
    </row>
    <row r="1356" spans="1:7" ht="15">
      <c r="A1356" s="81" t="s">
        <v>2658</v>
      </c>
      <c r="B1356" s="80">
        <v>2</v>
      </c>
      <c r="C1356" s="104">
        <v>0.0010887444297846714</v>
      </c>
      <c r="D1356" s="80" t="s">
        <v>2184</v>
      </c>
      <c r="E1356" s="80" t="b">
        <v>0</v>
      </c>
      <c r="F1356" s="80" t="b">
        <v>0</v>
      </c>
      <c r="G1356" s="80" t="b">
        <v>0</v>
      </c>
    </row>
    <row r="1357" spans="1:7" ht="15">
      <c r="A1357" s="81" t="s">
        <v>2617</v>
      </c>
      <c r="B1357" s="80">
        <v>2</v>
      </c>
      <c r="C1357" s="104">
        <v>0.0013875335073667869</v>
      </c>
      <c r="D1357" s="80" t="s">
        <v>2184</v>
      </c>
      <c r="E1357" s="80" t="b">
        <v>0</v>
      </c>
      <c r="F1357" s="80" t="b">
        <v>0</v>
      </c>
      <c r="G1357" s="80" t="b">
        <v>0</v>
      </c>
    </row>
    <row r="1358" spans="1:7" ht="15">
      <c r="A1358" s="81" t="s">
        <v>3083</v>
      </c>
      <c r="B1358" s="80">
        <v>2</v>
      </c>
      <c r="C1358" s="104">
        <v>0.0013875335073667869</v>
      </c>
      <c r="D1358" s="80" t="s">
        <v>2184</v>
      </c>
      <c r="E1358" s="80" t="b">
        <v>0</v>
      </c>
      <c r="F1358" s="80" t="b">
        <v>0</v>
      </c>
      <c r="G1358" s="80" t="b">
        <v>0</v>
      </c>
    </row>
    <row r="1359" spans="1:7" ht="15">
      <c r="A1359" s="81" t="s">
        <v>2507</v>
      </c>
      <c r="B1359" s="80">
        <v>2</v>
      </c>
      <c r="C1359" s="104">
        <v>0.0010887444297846714</v>
      </c>
      <c r="D1359" s="80" t="s">
        <v>2184</v>
      </c>
      <c r="E1359" s="80" t="b">
        <v>0</v>
      </c>
      <c r="F1359" s="80" t="b">
        <v>0</v>
      </c>
      <c r="G1359" s="80" t="b">
        <v>0</v>
      </c>
    </row>
    <row r="1360" spans="1:7" ht="15">
      <c r="A1360" s="81" t="s">
        <v>2508</v>
      </c>
      <c r="B1360" s="80">
        <v>2</v>
      </c>
      <c r="C1360" s="104">
        <v>0.0010887444297846714</v>
      </c>
      <c r="D1360" s="80" t="s">
        <v>2184</v>
      </c>
      <c r="E1360" s="80" t="b">
        <v>0</v>
      </c>
      <c r="F1360" s="80" t="b">
        <v>0</v>
      </c>
      <c r="G1360" s="80" t="b">
        <v>0</v>
      </c>
    </row>
    <row r="1361" spans="1:7" ht="15">
      <c r="A1361" s="81" t="s">
        <v>2719</v>
      </c>
      <c r="B1361" s="80">
        <v>2</v>
      </c>
      <c r="C1361" s="104">
        <v>0.0010887444297846714</v>
      </c>
      <c r="D1361" s="80" t="s">
        <v>2184</v>
      </c>
      <c r="E1361" s="80" t="b">
        <v>0</v>
      </c>
      <c r="F1361" s="80" t="b">
        <v>0</v>
      </c>
      <c r="G1361" s="80" t="b">
        <v>0</v>
      </c>
    </row>
    <row r="1362" spans="1:7" ht="15">
      <c r="A1362" s="81" t="s">
        <v>3005</v>
      </c>
      <c r="B1362" s="80">
        <v>2</v>
      </c>
      <c r="C1362" s="104">
        <v>0.0013875335073667869</v>
      </c>
      <c r="D1362" s="80" t="s">
        <v>2184</v>
      </c>
      <c r="E1362" s="80" t="b">
        <v>0</v>
      </c>
      <c r="F1362" s="80" t="b">
        <v>0</v>
      </c>
      <c r="G1362" s="80" t="b">
        <v>0</v>
      </c>
    </row>
    <row r="1363" spans="1:7" ht="15">
      <c r="A1363" s="81" t="s">
        <v>2691</v>
      </c>
      <c r="B1363" s="80">
        <v>2</v>
      </c>
      <c r="C1363" s="104">
        <v>0.0010887444297846714</v>
      </c>
      <c r="D1363" s="80" t="s">
        <v>2184</v>
      </c>
      <c r="E1363" s="80" t="b">
        <v>0</v>
      </c>
      <c r="F1363" s="80" t="b">
        <v>0</v>
      </c>
      <c r="G1363" s="80" t="b">
        <v>0</v>
      </c>
    </row>
    <row r="1364" spans="1:7" ht="15">
      <c r="A1364" s="81" t="s">
        <v>2777</v>
      </c>
      <c r="B1364" s="80">
        <v>2</v>
      </c>
      <c r="C1364" s="104">
        <v>0.0010887444297846714</v>
      </c>
      <c r="D1364" s="80" t="s">
        <v>2184</v>
      </c>
      <c r="E1364" s="80" t="b">
        <v>0</v>
      </c>
      <c r="F1364" s="80" t="b">
        <v>0</v>
      </c>
      <c r="G1364" s="80" t="b">
        <v>0</v>
      </c>
    </row>
    <row r="1365" spans="1:7" ht="15">
      <c r="A1365" s="81" t="s">
        <v>2590</v>
      </c>
      <c r="B1365" s="80">
        <v>2</v>
      </c>
      <c r="C1365" s="104">
        <v>0.0010887444297846714</v>
      </c>
      <c r="D1365" s="80" t="s">
        <v>2184</v>
      </c>
      <c r="E1365" s="80" t="b">
        <v>1</v>
      </c>
      <c r="F1365" s="80" t="b">
        <v>0</v>
      </c>
      <c r="G1365" s="80" t="b">
        <v>0</v>
      </c>
    </row>
    <row r="1366" spans="1:7" ht="15">
      <c r="A1366" s="81" t="s">
        <v>2989</v>
      </c>
      <c r="B1366" s="80">
        <v>2</v>
      </c>
      <c r="C1366" s="104">
        <v>0.0010887444297846714</v>
      </c>
      <c r="D1366" s="80" t="s">
        <v>2184</v>
      </c>
      <c r="E1366" s="80" t="b">
        <v>1</v>
      </c>
      <c r="F1366" s="80" t="b">
        <v>0</v>
      </c>
      <c r="G1366" s="80" t="b">
        <v>0</v>
      </c>
    </row>
    <row r="1367" spans="1:7" ht="15">
      <c r="A1367" s="81" t="s">
        <v>2329</v>
      </c>
      <c r="B1367" s="80">
        <v>2</v>
      </c>
      <c r="C1367" s="104">
        <v>0.0010887444297846714</v>
      </c>
      <c r="D1367" s="80" t="s">
        <v>2184</v>
      </c>
      <c r="E1367" s="80" t="b">
        <v>0</v>
      </c>
      <c r="F1367" s="80" t="b">
        <v>0</v>
      </c>
      <c r="G1367" s="80" t="b">
        <v>0</v>
      </c>
    </row>
    <row r="1368" spans="1:7" ht="15">
      <c r="A1368" s="81" t="s">
        <v>2812</v>
      </c>
      <c r="B1368" s="80">
        <v>2</v>
      </c>
      <c r="C1368" s="104">
        <v>0.0010887444297846714</v>
      </c>
      <c r="D1368" s="80" t="s">
        <v>2184</v>
      </c>
      <c r="E1368" s="80" t="b">
        <v>0</v>
      </c>
      <c r="F1368" s="80" t="b">
        <v>0</v>
      </c>
      <c r="G1368" s="80" t="b">
        <v>0</v>
      </c>
    </row>
    <row r="1369" spans="1:7" ht="15">
      <c r="A1369" s="81" t="s">
        <v>2902</v>
      </c>
      <c r="B1369" s="80">
        <v>2</v>
      </c>
      <c r="C1369" s="104">
        <v>0.0010887444297846714</v>
      </c>
      <c r="D1369" s="80" t="s">
        <v>2184</v>
      </c>
      <c r="E1369" s="80" t="b">
        <v>0</v>
      </c>
      <c r="F1369" s="80" t="b">
        <v>0</v>
      </c>
      <c r="G1369" s="80" t="b">
        <v>0</v>
      </c>
    </row>
    <row r="1370" spans="1:7" ht="15">
      <c r="A1370" s="81" t="s">
        <v>2933</v>
      </c>
      <c r="B1370" s="80">
        <v>2</v>
      </c>
      <c r="C1370" s="104">
        <v>0.0013875335073667869</v>
      </c>
      <c r="D1370" s="80" t="s">
        <v>2184</v>
      </c>
      <c r="E1370" s="80" t="b">
        <v>0</v>
      </c>
      <c r="F1370" s="80" t="b">
        <v>0</v>
      </c>
      <c r="G1370" s="80" t="b">
        <v>0</v>
      </c>
    </row>
    <row r="1371" spans="1:7" ht="15">
      <c r="A1371" s="81" t="s">
        <v>3089</v>
      </c>
      <c r="B1371" s="80">
        <v>2</v>
      </c>
      <c r="C1371" s="104">
        <v>0.0010887444297846714</v>
      </c>
      <c r="D1371" s="80" t="s">
        <v>2184</v>
      </c>
      <c r="E1371" s="80" t="b">
        <v>0</v>
      </c>
      <c r="F1371" s="80" t="b">
        <v>0</v>
      </c>
      <c r="G1371" s="80" t="b">
        <v>0</v>
      </c>
    </row>
    <row r="1372" spans="1:7" ht="15">
      <c r="A1372" s="81" t="s">
        <v>2592</v>
      </c>
      <c r="B1372" s="80">
        <v>2</v>
      </c>
      <c r="C1372" s="104">
        <v>0.0013875335073667869</v>
      </c>
      <c r="D1372" s="80" t="s">
        <v>2184</v>
      </c>
      <c r="E1372" s="80" t="b">
        <v>0</v>
      </c>
      <c r="F1372" s="80" t="b">
        <v>0</v>
      </c>
      <c r="G1372" s="80" t="b">
        <v>0</v>
      </c>
    </row>
    <row r="1373" spans="1:7" ht="15">
      <c r="A1373" s="81" t="s">
        <v>3003</v>
      </c>
      <c r="B1373" s="80">
        <v>2</v>
      </c>
      <c r="C1373" s="104">
        <v>0.0013875335073667869</v>
      </c>
      <c r="D1373" s="80" t="s">
        <v>2184</v>
      </c>
      <c r="E1373" s="80" t="b">
        <v>0</v>
      </c>
      <c r="F1373" s="80" t="b">
        <v>0</v>
      </c>
      <c r="G1373" s="80" t="b">
        <v>0</v>
      </c>
    </row>
    <row r="1374" spans="1:7" ht="15">
      <c r="A1374" s="81" t="s">
        <v>3215</v>
      </c>
      <c r="B1374" s="80">
        <v>2</v>
      </c>
      <c r="C1374" s="104">
        <v>0.0010887444297846714</v>
      </c>
      <c r="D1374" s="80" t="s">
        <v>2184</v>
      </c>
      <c r="E1374" s="80" t="b">
        <v>0</v>
      </c>
      <c r="F1374" s="80" t="b">
        <v>0</v>
      </c>
      <c r="G1374" s="80" t="b">
        <v>0</v>
      </c>
    </row>
    <row r="1375" spans="1:7" ht="15">
      <c r="A1375" s="81" t="s">
        <v>2446</v>
      </c>
      <c r="B1375" s="80">
        <v>2</v>
      </c>
      <c r="C1375" s="104">
        <v>0.0010887444297846714</v>
      </c>
      <c r="D1375" s="80" t="s">
        <v>2184</v>
      </c>
      <c r="E1375" s="80" t="b">
        <v>0</v>
      </c>
      <c r="F1375" s="80" t="b">
        <v>0</v>
      </c>
      <c r="G1375" s="80" t="b">
        <v>0</v>
      </c>
    </row>
    <row r="1376" spans="1:7" ht="15">
      <c r="A1376" s="81" t="s">
        <v>2566</v>
      </c>
      <c r="B1376" s="80">
        <v>2</v>
      </c>
      <c r="C1376" s="104">
        <v>0.0010887444297846714</v>
      </c>
      <c r="D1376" s="80" t="s">
        <v>2184</v>
      </c>
      <c r="E1376" s="80" t="b">
        <v>0</v>
      </c>
      <c r="F1376" s="80" t="b">
        <v>0</v>
      </c>
      <c r="G1376" s="80" t="b">
        <v>0</v>
      </c>
    </row>
    <row r="1377" spans="1:7" ht="15">
      <c r="A1377" s="81" t="s">
        <v>2393</v>
      </c>
      <c r="B1377" s="80">
        <v>2</v>
      </c>
      <c r="C1377" s="104">
        <v>0.0010887444297846714</v>
      </c>
      <c r="D1377" s="80" t="s">
        <v>2184</v>
      </c>
      <c r="E1377" s="80" t="b">
        <v>0</v>
      </c>
      <c r="F1377" s="80" t="b">
        <v>0</v>
      </c>
      <c r="G1377" s="80" t="b">
        <v>0</v>
      </c>
    </row>
    <row r="1378" spans="1:7" ht="15">
      <c r="A1378" s="81" t="s">
        <v>2496</v>
      </c>
      <c r="B1378" s="80">
        <v>2</v>
      </c>
      <c r="C1378" s="104">
        <v>0.0010887444297846714</v>
      </c>
      <c r="D1378" s="80" t="s">
        <v>2184</v>
      </c>
      <c r="E1378" s="80" t="b">
        <v>0</v>
      </c>
      <c r="F1378" s="80" t="b">
        <v>0</v>
      </c>
      <c r="G1378" s="80" t="b">
        <v>0</v>
      </c>
    </row>
    <row r="1379" spans="1:7" ht="15">
      <c r="A1379" s="81" t="s">
        <v>3246</v>
      </c>
      <c r="B1379" s="80">
        <v>2</v>
      </c>
      <c r="C1379" s="104">
        <v>0.0013875335073667869</v>
      </c>
      <c r="D1379" s="80" t="s">
        <v>2184</v>
      </c>
      <c r="E1379" s="80" t="b">
        <v>0</v>
      </c>
      <c r="F1379" s="80" t="b">
        <v>0</v>
      </c>
      <c r="G1379" s="80" t="b">
        <v>0</v>
      </c>
    </row>
    <row r="1380" spans="1:7" ht="15">
      <c r="A1380" s="81" t="s">
        <v>2342</v>
      </c>
      <c r="B1380" s="80">
        <v>2</v>
      </c>
      <c r="C1380" s="104">
        <v>0.0010887444297846714</v>
      </c>
      <c r="D1380" s="80" t="s">
        <v>2184</v>
      </c>
      <c r="E1380" s="80" t="b">
        <v>1</v>
      </c>
      <c r="F1380" s="80" t="b">
        <v>0</v>
      </c>
      <c r="G1380" s="80" t="b">
        <v>0</v>
      </c>
    </row>
    <row r="1381" spans="1:7" ht="15">
      <c r="A1381" s="81" t="s">
        <v>2220</v>
      </c>
      <c r="B1381" s="80">
        <v>2</v>
      </c>
      <c r="C1381" s="104">
        <v>0.0010887444297846714</v>
      </c>
      <c r="D1381" s="80" t="s">
        <v>2184</v>
      </c>
      <c r="E1381" s="80" t="b">
        <v>0</v>
      </c>
      <c r="F1381" s="80" t="b">
        <v>0</v>
      </c>
      <c r="G1381" s="80" t="b">
        <v>0</v>
      </c>
    </row>
    <row r="1382" spans="1:7" ht="15">
      <c r="A1382" s="81" t="s">
        <v>2491</v>
      </c>
      <c r="B1382" s="80">
        <v>2</v>
      </c>
      <c r="C1382" s="104">
        <v>0.0013875335073667869</v>
      </c>
      <c r="D1382" s="80" t="s">
        <v>2184</v>
      </c>
      <c r="E1382" s="80" t="b">
        <v>0</v>
      </c>
      <c r="F1382" s="80" t="b">
        <v>0</v>
      </c>
      <c r="G1382" s="80" t="b">
        <v>0</v>
      </c>
    </row>
    <row r="1383" spans="1:7" ht="15">
      <c r="A1383" s="81" t="s">
        <v>3118</v>
      </c>
      <c r="B1383" s="80">
        <v>2</v>
      </c>
      <c r="C1383" s="104">
        <v>0.0013875335073667869</v>
      </c>
      <c r="D1383" s="80" t="s">
        <v>2184</v>
      </c>
      <c r="E1383" s="80" t="b">
        <v>0</v>
      </c>
      <c r="F1383" s="80" t="b">
        <v>0</v>
      </c>
      <c r="G1383" s="80" t="b">
        <v>0</v>
      </c>
    </row>
    <row r="1384" spans="1:7" ht="15">
      <c r="A1384" s="81" t="s">
        <v>2833</v>
      </c>
      <c r="B1384" s="80">
        <v>2</v>
      </c>
      <c r="C1384" s="104">
        <v>0.0010887444297846714</v>
      </c>
      <c r="D1384" s="80" t="s">
        <v>2184</v>
      </c>
      <c r="E1384" s="80" t="b">
        <v>0</v>
      </c>
      <c r="F1384" s="80" t="b">
        <v>0</v>
      </c>
      <c r="G1384" s="80" t="b">
        <v>0</v>
      </c>
    </row>
    <row r="1385" spans="1:7" ht="15">
      <c r="A1385" s="81" t="s">
        <v>3011</v>
      </c>
      <c r="B1385" s="80">
        <v>2</v>
      </c>
      <c r="C1385" s="104">
        <v>0.0010887444297846714</v>
      </c>
      <c r="D1385" s="80" t="s">
        <v>2184</v>
      </c>
      <c r="E1385" s="80" t="b">
        <v>0</v>
      </c>
      <c r="F1385" s="80" t="b">
        <v>0</v>
      </c>
      <c r="G1385" s="80" t="b">
        <v>0</v>
      </c>
    </row>
    <row r="1386" spans="1:7" ht="15">
      <c r="A1386" s="81" t="s">
        <v>3268</v>
      </c>
      <c r="B1386" s="80">
        <v>2</v>
      </c>
      <c r="C1386" s="104">
        <v>0.0010887444297846714</v>
      </c>
      <c r="D1386" s="80" t="s">
        <v>2184</v>
      </c>
      <c r="E1386" s="80" t="b">
        <v>0</v>
      </c>
      <c r="F1386" s="80" t="b">
        <v>0</v>
      </c>
      <c r="G1386" s="80" t="b">
        <v>0</v>
      </c>
    </row>
    <row r="1387" spans="1:7" ht="15">
      <c r="A1387" s="81" t="s">
        <v>2748</v>
      </c>
      <c r="B1387" s="80">
        <v>2</v>
      </c>
      <c r="C1387" s="104">
        <v>0.0010887444297846714</v>
      </c>
      <c r="D1387" s="80" t="s">
        <v>2184</v>
      </c>
      <c r="E1387" s="80" t="b">
        <v>0</v>
      </c>
      <c r="F1387" s="80" t="b">
        <v>0</v>
      </c>
      <c r="G1387" s="80" t="b">
        <v>0</v>
      </c>
    </row>
    <row r="1388" spans="1:7" ht="15">
      <c r="A1388" s="81" t="s">
        <v>3092</v>
      </c>
      <c r="B1388" s="80">
        <v>2</v>
      </c>
      <c r="C1388" s="104">
        <v>0.0013875335073667869</v>
      </c>
      <c r="D1388" s="80" t="s">
        <v>2184</v>
      </c>
      <c r="E1388" s="80" t="b">
        <v>0</v>
      </c>
      <c r="F1388" s="80" t="b">
        <v>0</v>
      </c>
      <c r="G1388" s="80" t="b">
        <v>0</v>
      </c>
    </row>
    <row r="1389" spans="1:7" ht="15">
      <c r="A1389" s="81" t="s">
        <v>3203</v>
      </c>
      <c r="B1389" s="80">
        <v>2</v>
      </c>
      <c r="C1389" s="104">
        <v>0.0013875335073667869</v>
      </c>
      <c r="D1389" s="80" t="s">
        <v>2184</v>
      </c>
      <c r="E1389" s="80" t="b">
        <v>0</v>
      </c>
      <c r="F1389" s="80" t="b">
        <v>0</v>
      </c>
      <c r="G1389" s="80" t="b">
        <v>0</v>
      </c>
    </row>
    <row r="1390" spans="1:7" ht="15">
      <c r="A1390" s="81" t="s">
        <v>3023</v>
      </c>
      <c r="B1390" s="80">
        <v>2</v>
      </c>
      <c r="C1390" s="104">
        <v>0.0013875335073667869</v>
      </c>
      <c r="D1390" s="80" t="s">
        <v>2184</v>
      </c>
      <c r="E1390" s="80" t="b">
        <v>0</v>
      </c>
      <c r="F1390" s="80" t="b">
        <v>0</v>
      </c>
      <c r="G1390" s="80" t="b">
        <v>0</v>
      </c>
    </row>
    <row r="1391" spans="1:7" ht="15">
      <c r="A1391" s="81" t="s">
        <v>2740</v>
      </c>
      <c r="B1391" s="80">
        <v>2</v>
      </c>
      <c r="C1391" s="104">
        <v>0.0010887444297846714</v>
      </c>
      <c r="D1391" s="80" t="s">
        <v>2184</v>
      </c>
      <c r="E1391" s="80" t="b">
        <v>0</v>
      </c>
      <c r="F1391" s="80" t="b">
        <v>0</v>
      </c>
      <c r="G1391" s="80" t="b">
        <v>0</v>
      </c>
    </row>
    <row r="1392" spans="1:7" ht="15">
      <c r="A1392" s="81" t="s">
        <v>3327</v>
      </c>
      <c r="B1392" s="80">
        <v>2</v>
      </c>
      <c r="C1392" s="104">
        <v>0.0013875335073667869</v>
      </c>
      <c r="D1392" s="80" t="s">
        <v>2184</v>
      </c>
      <c r="E1392" s="80" t="b">
        <v>0</v>
      </c>
      <c r="F1392" s="80" t="b">
        <v>0</v>
      </c>
      <c r="G1392" s="80" t="b">
        <v>0</v>
      </c>
    </row>
    <row r="1393" spans="1:7" ht="15">
      <c r="A1393" s="81" t="s">
        <v>2391</v>
      </c>
      <c r="B1393" s="80">
        <v>2</v>
      </c>
      <c r="C1393" s="104">
        <v>0.0010887444297846714</v>
      </c>
      <c r="D1393" s="80" t="s">
        <v>2184</v>
      </c>
      <c r="E1393" s="80" t="b">
        <v>0</v>
      </c>
      <c r="F1393" s="80" t="b">
        <v>0</v>
      </c>
      <c r="G1393" s="80" t="b">
        <v>0</v>
      </c>
    </row>
    <row r="1394" spans="1:7" ht="15">
      <c r="A1394" s="81" t="s">
        <v>3228</v>
      </c>
      <c r="B1394" s="80">
        <v>2</v>
      </c>
      <c r="C1394" s="104">
        <v>0.0010887444297846714</v>
      </c>
      <c r="D1394" s="80" t="s">
        <v>2184</v>
      </c>
      <c r="E1394" s="80" t="b">
        <v>0</v>
      </c>
      <c r="F1394" s="80" t="b">
        <v>0</v>
      </c>
      <c r="G1394" s="80" t="b">
        <v>0</v>
      </c>
    </row>
    <row r="1395" spans="1:7" ht="15">
      <c r="A1395" s="81" t="s">
        <v>2662</v>
      </c>
      <c r="B1395" s="80">
        <v>2</v>
      </c>
      <c r="C1395" s="104">
        <v>0.0013875335073667869</v>
      </c>
      <c r="D1395" s="80" t="s">
        <v>2184</v>
      </c>
      <c r="E1395" s="80" t="b">
        <v>0</v>
      </c>
      <c r="F1395" s="80" t="b">
        <v>0</v>
      </c>
      <c r="G1395" s="80" t="b">
        <v>0</v>
      </c>
    </row>
    <row r="1396" spans="1:7" ht="15">
      <c r="A1396" s="81" t="s">
        <v>3272</v>
      </c>
      <c r="B1396" s="80">
        <v>2</v>
      </c>
      <c r="C1396" s="104">
        <v>0.0013875335073667869</v>
      </c>
      <c r="D1396" s="80" t="s">
        <v>2184</v>
      </c>
      <c r="E1396" s="80" t="b">
        <v>0</v>
      </c>
      <c r="F1396" s="80" t="b">
        <v>0</v>
      </c>
      <c r="G1396" s="80" t="b">
        <v>0</v>
      </c>
    </row>
    <row r="1397" spans="1:7" ht="15">
      <c r="A1397" s="81" t="s">
        <v>3066</v>
      </c>
      <c r="B1397" s="80">
        <v>2</v>
      </c>
      <c r="C1397" s="104">
        <v>0.0010887444297846714</v>
      </c>
      <c r="D1397" s="80" t="s">
        <v>2184</v>
      </c>
      <c r="E1397" s="80" t="b">
        <v>0</v>
      </c>
      <c r="F1397" s="80" t="b">
        <v>0</v>
      </c>
      <c r="G1397" s="80" t="b">
        <v>0</v>
      </c>
    </row>
    <row r="1398" spans="1:7" ht="15">
      <c r="A1398" s="81" t="s">
        <v>2344</v>
      </c>
      <c r="B1398" s="80">
        <v>2</v>
      </c>
      <c r="C1398" s="104">
        <v>0.0010887444297846714</v>
      </c>
      <c r="D1398" s="80" t="s">
        <v>2184</v>
      </c>
      <c r="E1398" s="80" t="b">
        <v>0</v>
      </c>
      <c r="F1398" s="80" t="b">
        <v>0</v>
      </c>
      <c r="G1398" s="80" t="b">
        <v>0</v>
      </c>
    </row>
    <row r="1399" spans="1:7" ht="15">
      <c r="A1399" s="81" t="s">
        <v>3277</v>
      </c>
      <c r="B1399" s="80">
        <v>2</v>
      </c>
      <c r="C1399" s="104">
        <v>0.0010887444297846714</v>
      </c>
      <c r="D1399" s="80" t="s">
        <v>2184</v>
      </c>
      <c r="E1399" s="80" t="b">
        <v>0</v>
      </c>
      <c r="F1399" s="80" t="b">
        <v>0</v>
      </c>
      <c r="G1399" s="80" t="b">
        <v>0</v>
      </c>
    </row>
    <row r="1400" spans="1:7" ht="15">
      <c r="A1400" s="81" t="s">
        <v>2480</v>
      </c>
      <c r="B1400" s="80">
        <v>2</v>
      </c>
      <c r="C1400" s="104">
        <v>0.0010887444297846714</v>
      </c>
      <c r="D1400" s="80" t="s">
        <v>2184</v>
      </c>
      <c r="E1400" s="80" t="b">
        <v>0</v>
      </c>
      <c r="F1400" s="80" t="b">
        <v>0</v>
      </c>
      <c r="G1400" s="80" t="b">
        <v>0</v>
      </c>
    </row>
    <row r="1401" spans="1:7" ht="15">
      <c r="A1401" s="81" t="s">
        <v>2805</v>
      </c>
      <c r="B1401" s="80">
        <v>2</v>
      </c>
      <c r="C1401" s="104">
        <v>0.0010887444297846714</v>
      </c>
      <c r="D1401" s="80" t="s">
        <v>2184</v>
      </c>
      <c r="E1401" s="80" t="b">
        <v>0</v>
      </c>
      <c r="F1401" s="80" t="b">
        <v>0</v>
      </c>
      <c r="G1401" s="80" t="b">
        <v>0</v>
      </c>
    </row>
    <row r="1402" spans="1:7" ht="15">
      <c r="A1402" s="81" t="s">
        <v>2519</v>
      </c>
      <c r="B1402" s="80">
        <v>2</v>
      </c>
      <c r="C1402" s="104">
        <v>0.0013875335073667869</v>
      </c>
      <c r="D1402" s="80" t="s">
        <v>2184</v>
      </c>
      <c r="E1402" s="80" t="b">
        <v>0</v>
      </c>
      <c r="F1402" s="80" t="b">
        <v>0</v>
      </c>
      <c r="G1402" s="80" t="b">
        <v>0</v>
      </c>
    </row>
    <row r="1403" spans="1:7" ht="15">
      <c r="A1403" s="81" t="s">
        <v>2815</v>
      </c>
      <c r="B1403" s="80">
        <v>2</v>
      </c>
      <c r="C1403" s="104">
        <v>0.0010887444297846714</v>
      </c>
      <c r="D1403" s="80" t="s">
        <v>2184</v>
      </c>
      <c r="E1403" s="80" t="b">
        <v>0</v>
      </c>
      <c r="F1403" s="80" t="b">
        <v>0</v>
      </c>
      <c r="G1403" s="80" t="b">
        <v>0</v>
      </c>
    </row>
    <row r="1404" spans="1:7" ht="15">
      <c r="A1404" s="81" t="s">
        <v>2389</v>
      </c>
      <c r="B1404" s="80">
        <v>2</v>
      </c>
      <c r="C1404" s="104">
        <v>0.0010887444297846714</v>
      </c>
      <c r="D1404" s="80" t="s">
        <v>2184</v>
      </c>
      <c r="E1404" s="80" t="b">
        <v>0</v>
      </c>
      <c r="F1404" s="80" t="b">
        <v>0</v>
      </c>
      <c r="G1404" s="80" t="b">
        <v>0</v>
      </c>
    </row>
    <row r="1405" spans="1:7" ht="15">
      <c r="A1405" s="81" t="s">
        <v>3026</v>
      </c>
      <c r="B1405" s="80">
        <v>2</v>
      </c>
      <c r="C1405" s="104">
        <v>0.0013875335073667869</v>
      </c>
      <c r="D1405" s="80" t="s">
        <v>2184</v>
      </c>
      <c r="E1405" s="80" t="b">
        <v>0</v>
      </c>
      <c r="F1405" s="80" t="b">
        <v>0</v>
      </c>
      <c r="G1405" s="80" t="b">
        <v>0</v>
      </c>
    </row>
    <row r="1406" spans="1:7" ht="15">
      <c r="A1406" s="81" t="s">
        <v>3007</v>
      </c>
      <c r="B1406" s="80">
        <v>2</v>
      </c>
      <c r="C1406" s="104">
        <v>0.0013875335073667869</v>
      </c>
      <c r="D1406" s="80" t="s">
        <v>2184</v>
      </c>
      <c r="E1406" s="80" t="b">
        <v>0</v>
      </c>
      <c r="F1406" s="80" t="b">
        <v>0</v>
      </c>
      <c r="G1406" s="80" t="b">
        <v>0</v>
      </c>
    </row>
    <row r="1407" spans="1:7" ht="15">
      <c r="A1407" s="81" t="s">
        <v>2844</v>
      </c>
      <c r="B1407" s="80">
        <v>2</v>
      </c>
      <c r="C1407" s="104">
        <v>0.0010887444297846714</v>
      </c>
      <c r="D1407" s="80" t="s">
        <v>2184</v>
      </c>
      <c r="E1407" s="80" t="b">
        <v>1</v>
      </c>
      <c r="F1407" s="80" t="b">
        <v>0</v>
      </c>
      <c r="G1407" s="80" t="b">
        <v>0</v>
      </c>
    </row>
    <row r="1408" spans="1:7" ht="15">
      <c r="A1408" s="81" t="s">
        <v>3148</v>
      </c>
      <c r="B1408" s="80">
        <v>2</v>
      </c>
      <c r="C1408" s="104">
        <v>0.0010887444297846714</v>
      </c>
      <c r="D1408" s="80" t="s">
        <v>2184</v>
      </c>
      <c r="E1408" s="80" t="b">
        <v>0</v>
      </c>
      <c r="F1408" s="80" t="b">
        <v>0</v>
      </c>
      <c r="G1408" s="80" t="b">
        <v>0</v>
      </c>
    </row>
    <row r="1409" spans="1:7" ht="15">
      <c r="A1409" s="81" t="s">
        <v>2535</v>
      </c>
      <c r="B1409" s="80">
        <v>2</v>
      </c>
      <c r="C1409" s="104">
        <v>0.0010887444297846714</v>
      </c>
      <c r="D1409" s="80" t="s">
        <v>2184</v>
      </c>
      <c r="E1409" s="80" t="b">
        <v>0</v>
      </c>
      <c r="F1409" s="80" t="b">
        <v>0</v>
      </c>
      <c r="G1409" s="80" t="b">
        <v>0</v>
      </c>
    </row>
    <row r="1410" spans="1:7" ht="15">
      <c r="A1410" s="81" t="s">
        <v>2994</v>
      </c>
      <c r="B1410" s="80">
        <v>2</v>
      </c>
      <c r="C1410" s="104">
        <v>0.0010887444297846714</v>
      </c>
      <c r="D1410" s="80" t="s">
        <v>2184</v>
      </c>
      <c r="E1410" s="80" t="b">
        <v>0</v>
      </c>
      <c r="F1410" s="80" t="b">
        <v>1</v>
      </c>
      <c r="G1410" s="80" t="b">
        <v>0</v>
      </c>
    </row>
    <row r="1411" spans="1:7" ht="15">
      <c r="A1411" s="81" t="s">
        <v>2379</v>
      </c>
      <c r="B1411" s="80">
        <v>2</v>
      </c>
      <c r="C1411" s="104">
        <v>0.0010887444297846714</v>
      </c>
      <c r="D1411" s="80" t="s">
        <v>2184</v>
      </c>
      <c r="E1411" s="80" t="b">
        <v>0</v>
      </c>
      <c r="F1411" s="80" t="b">
        <v>0</v>
      </c>
      <c r="G1411" s="80" t="b">
        <v>0</v>
      </c>
    </row>
    <row r="1412" spans="1:7" ht="15">
      <c r="A1412" s="81" t="s">
        <v>3024</v>
      </c>
      <c r="B1412" s="80">
        <v>2</v>
      </c>
      <c r="C1412" s="104">
        <v>0.0013875335073667869</v>
      </c>
      <c r="D1412" s="80" t="s">
        <v>2184</v>
      </c>
      <c r="E1412" s="80" t="b">
        <v>0</v>
      </c>
      <c r="F1412" s="80" t="b">
        <v>0</v>
      </c>
      <c r="G1412" s="80" t="b">
        <v>0</v>
      </c>
    </row>
    <row r="1413" spans="1:7" ht="15">
      <c r="A1413" s="81" t="s">
        <v>2814</v>
      </c>
      <c r="B1413" s="80">
        <v>2</v>
      </c>
      <c r="C1413" s="104">
        <v>0.0010887444297846714</v>
      </c>
      <c r="D1413" s="80" t="s">
        <v>2184</v>
      </c>
      <c r="E1413" s="80" t="b">
        <v>0</v>
      </c>
      <c r="F1413" s="80" t="b">
        <v>0</v>
      </c>
      <c r="G1413" s="80" t="b">
        <v>0</v>
      </c>
    </row>
    <row r="1414" spans="1:7" ht="15">
      <c r="A1414" s="81" t="s">
        <v>3338</v>
      </c>
      <c r="B1414" s="80">
        <v>2</v>
      </c>
      <c r="C1414" s="104">
        <v>0.0010887444297846714</v>
      </c>
      <c r="D1414" s="80" t="s">
        <v>2184</v>
      </c>
      <c r="E1414" s="80" t="b">
        <v>0</v>
      </c>
      <c r="F1414" s="80" t="b">
        <v>0</v>
      </c>
      <c r="G1414" s="80" t="b">
        <v>0</v>
      </c>
    </row>
    <row r="1415" spans="1:7" ht="15">
      <c r="A1415" s="81" t="s">
        <v>2669</v>
      </c>
      <c r="B1415" s="80">
        <v>2</v>
      </c>
      <c r="C1415" s="104">
        <v>0.0010887444297846714</v>
      </c>
      <c r="D1415" s="80" t="s">
        <v>2184</v>
      </c>
      <c r="E1415" s="80" t="b">
        <v>0</v>
      </c>
      <c r="F1415" s="80" t="b">
        <v>0</v>
      </c>
      <c r="G1415" s="80" t="b">
        <v>0</v>
      </c>
    </row>
    <row r="1416" spans="1:7" ht="15">
      <c r="A1416" s="81" t="s">
        <v>2447</v>
      </c>
      <c r="B1416" s="80">
        <v>2</v>
      </c>
      <c r="C1416" s="104">
        <v>0.0010887444297846714</v>
      </c>
      <c r="D1416" s="80" t="s">
        <v>2184</v>
      </c>
      <c r="E1416" s="80" t="b">
        <v>0</v>
      </c>
      <c r="F1416" s="80" t="b">
        <v>0</v>
      </c>
      <c r="G1416" s="80" t="b">
        <v>0</v>
      </c>
    </row>
    <row r="1417" spans="1:7" ht="15">
      <c r="A1417" s="81" t="s">
        <v>3168</v>
      </c>
      <c r="B1417" s="80">
        <v>2</v>
      </c>
      <c r="C1417" s="104">
        <v>0.0010887444297846714</v>
      </c>
      <c r="D1417" s="80" t="s">
        <v>2184</v>
      </c>
      <c r="E1417" s="80" t="b">
        <v>0</v>
      </c>
      <c r="F1417" s="80" t="b">
        <v>0</v>
      </c>
      <c r="G1417" s="80" t="b">
        <v>0</v>
      </c>
    </row>
    <row r="1418" spans="1:7" ht="15">
      <c r="A1418" s="81" t="s">
        <v>2563</v>
      </c>
      <c r="B1418" s="80">
        <v>2</v>
      </c>
      <c r="C1418" s="104">
        <v>0.0013875335073667869</v>
      </c>
      <c r="D1418" s="80" t="s">
        <v>2184</v>
      </c>
      <c r="E1418" s="80" t="b">
        <v>0</v>
      </c>
      <c r="F1418" s="80" t="b">
        <v>0</v>
      </c>
      <c r="G1418" s="80" t="b">
        <v>0</v>
      </c>
    </row>
    <row r="1419" spans="1:7" ht="15">
      <c r="A1419" s="81" t="s">
        <v>3020</v>
      </c>
      <c r="B1419" s="80">
        <v>2</v>
      </c>
      <c r="C1419" s="104">
        <v>0.0013875335073667869</v>
      </c>
      <c r="D1419" s="80" t="s">
        <v>2184</v>
      </c>
      <c r="E1419" s="80" t="b">
        <v>0</v>
      </c>
      <c r="F1419" s="80" t="b">
        <v>0</v>
      </c>
      <c r="G1419" s="80" t="b">
        <v>0</v>
      </c>
    </row>
    <row r="1420" spans="1:7" ht="15">
      <c r="A1420" s="81" t="s">
        <v>2629</v>
      </c>
      <c r="B1420" s="80">
        <v>2</v>
      </c>
      <c r="C1420" s="104">
        <v>0.0010887444297846714</v>
      </c>
      <c r="D1420" s="80" t="s">
        <v>2184</v>
      </c>
      <c r="E1420" s="80" t="b">
        <v>0</v>
      </c>
      <c r="F1420" s="80" t="b">
        <v>0</v>
      </c>
      <c r="G1420" s="80" t="b">
        <v>0</v>
      </c>
    </row>
    <row r="1421" spans="1:7" ht="15">
      <c r="A1421" s="81" t="s">
        <v>2834</v>
      </c>
      <c r="B1421" s="80">
        <v>2</v>
      </c>
      <c r="C1421" s="104">
        <v>0.0010887444297846714</v>
      </c>
      <c r="D1421" s="80" t="s">
        <v>2184</v>
      </c>
      <c r="E1421" s="80" t="b">
        <v>0</v>
      </c>
      <c r="F1421" s="80" t="b">
        <v>0</v>
      </c>
      <c r="G1421" s="80" t="b">
        <v>0</v>
      </c>
    </row>
    <row r="1422" spans="1:7" ht="15">
      <c r="A1422" s="81" t="s">
        <v>3287</v>
      </c>
      <c r="B1422" s="80">
        <v>2</v>
      </c>
      <c r="C1422" s="104">
        <v>0.0010887444297846714</v>
      </c>
      <c r="D1422" s="80" t="s">
        <v>2184</v>
      </c>
      <c r="E1422" s="80" t="b">
        <v>0</v>
      </c>
      <c r="F1422" s="80" t="b">
        <v>0</v>
      </c>
      <c r="G1422" s="80" t="b">
        <v>0</v>
      </c>
    </row>
    <row r="1423" spans="1:7" ht="15">
      <c r="A1423" s="81" t="s">
        <v>2369</v>
      </c>
      <c r="B1423" s="80">
        <v>2</v>
      </c>
      <c r="C1423" s="104">
        <v>0.0010887444297846714</v>
      </c>
      <c r="D1423" s="80" t="s">
        <v>2184</v>
      </c>
      <c r="E1423" s="80" t="b">
        <v>0</v>
      </c>
      <c r="F1423" s="80" t="b">
        <v>0</v>
      </c>
      <c r="G1423" s="80" t="b">
        <v>0</v>
      </c>
    </row>
    <row r="1424" spans="1:7" ht="15">
      <c r="A1424" s="81" t="s">
        <v>2795</v>
      </c>
      <c r="B1424" s="80">
        <v>2</v>
      </c>
      <c r="C1424" s="104">
        <v>0.0010887444297846714</v>
      </c>
      <c r="D1424" s="80" t="s">
        <v>2184</v>
      </c>
      <c r="E1424" s="80" t="b">
        <v>0</v>
      </c>
      <c r="F1424" s="80" t="b">
        <v>0</v>
      </c>
      <c r="G1424" s="80" t="b">
        <v>0</v>
      </c>
    </row>
    <row r="1425" spans="1:7" ht="15">
      <c r="A1425" s="81" t="s">
        <v>2291</v>
      </c>
      <c r="B1425" s="80">
        <v>2</v>
      </c>
      <c r="C1425" s="104">
        <v>0.0010887444297846714</v>
      </c>
      <c r="D1425" s="80" t="s">
        <v>2184</v>
      </c>
      <c r="E1425" s="80" t="b">
        <v>0</v>
      </c>
      <c r="F1425" s="80" t="b">
        <v>0</v>
      </c>
      <c r="G1425" s="80" t="b">
        <v>0</v>
      </c>
    </row>
    <row r="1426" spans="1:7" ht="15">
      <c r="A1426" s="81" t="s">
        <v>2279</v>
      </c>
      <c r="B1426" s="80">
        <v>2</v>
      </c>
      <c r="C1426" s="104">
        <v>0.0013875335073667869</v>
      </c>
      <c r="D1426" s="80" t="s">
        <v>2184</v>
      </c>
      <c r="E1426" s="80" t="b">
        <v>0</v>
      </c>
      <c r="F1426" s="80" t="b">
        <v>0</v>
      </c>
      <c r="G1426" s="80" t="b">
        <v>0</v>
      </c>
    </row>
    <row r="1427" spans="1:7" ht="15">
      <c r="A1427" s="81" t="s">
        <v>2942</v>
      </c>
      <c r="B1427" s="80">
        <v>2</v>
      </c>
      <c r="C1427" s="104">
        <v>0.0013875335073667869</v>
      </c>
      <c r="D1427" s="80" t="s">
        <v>2184</v>
      </c>
      <c r="E1427" s="80" t="b">
        <v>0</v>
      </c>
      <c r="F1427" s="80" t="b">
        <v>0</v>
      </c>
      <c r="G1427" s="80" t="b">
        <v>0</v>
      </c>
    </row>
    <row r="1428" spans="1:7" ht="15">
      <c r="A1428" s="81" t="s">
        <v>2671</v>
      </c>
      <c r="B1428" s="80">
        <v>2</v>
      </c>
      <c r="C1428" s="104">
        <v>0.0010887444297846714</v>
      </c>
      <c r="D1428" s="80" t="s">
        <v>2184</v>
      </c>
      <c r="E1428" s="80" t="b">
        <v>0</v>
      </c>
      <c r="F1428" s="80" t="b">
        <v>0</v>
      </c>
      <c r="G1428" s="80" t="b">
        <v>0</v>
      </c>
    </row>
    <row r="1429" spans="1:7" ht="15">
      <c r="A1429" s="81" t="s">
        <v>2548</v>
      </c>
      <c r="B1429" s="80">
        <v>2</v>
      </c>
      <c r="C1429" s="104">
        <v>0.0013875335073667869</v>
      </c>
      <c r="D1429" s="80" t="s">
        <v>2184</v>
      </c>
      <c r="E1429" s="80" t="b">
        <v>0</v>
      </c>
      <c r="F1429" s="80" t="b">
        <v>0</v>
      </c>
      <c r="G1429" s="80" t="b">
        <v>0</v>
      </c>
    </row>
    <row r="1430" spans="1:7" ht="15">
      <c r="A1430" s="81" t="s">
        <v>3163</v>
      </c>
      <c r="B1430" s="80">
        <v>2</v>
      </c>
      <c r="C1430" s="104">
        <v>0.0010887444297846714</v>
      </c>
      <c r="D1430" s="80" t="s">
        <v>2184</v>
      </c>
      <c r="E1430" s="80" t="b">
        <v>0</v>
      </c>
      <c r="F1430" s="80" t="b">
        <v>0</v>
      </c>
      <c r="G1430" s="80" t="b">
        <v>0</v>
      </c>
    </row>
    <row r="1431" spans="1:7" ht="15">
      <c r="A1431" s="81" t="s">
        <v>3012</v>
      </c>
      <c r="B1431" s="80">
        <v>2</v>
      </c>
      <c r="C1431" s="104">
        <v>0.0010887444297846714</v>
      </c>
      <c r="D1431" s="80" t="s">
        <v>2184</v>
      </c>
      <c r="E1431" s="80" t="b">
        <v>0</v>
      </c>
      <c r="F1431" s="80" t="b">
        <v>0</v>
      </c>
      <c r="G1431" s="80" t="b">
        <v>0</v>
      </c>
    </row>
    <row r="1432" spans="1:7" ht="15">
      <c r="A1432" s="81" t="s">
        <v>3297</v>
      </c>
      <c r="B1432" s="80">
        <v>2</v>
      </c>
      <c r="C1432" s="104">
        <v>0.0013875335073667869</v>
      </c>
      <c r="D1432" s="80" t="s">
        <v>2184</v>
      </c>
      <c r="E1432" s="80" t="b">
        <v>0</v>
      </c>
      <c r="F1432" s="80" t="b">
        <v>0</v>
      </c>
      <c r="G1432" s="80" t="b">
        <v>0</v>
      </c>
    </row>
    <row r="1433" spans="1:7" ht="15">
      <c r="A1433" s="81" t="s">
        <v>3291</v>
      </c>
      <c r="B1433" s="80">
        <v>2</v>
      </c>
      <c r="C1433" s="104">
        <v>0.0013875335073667869</v>
      </c>
      <c r="D1433" s="80" t="s">
        <v>2184</v>
      </c>
      <c r="E1433" s="80" t="b">
        <v>0</v>
      </c>
      <c r="F1433" s="80" t="b">
        <v>0</v>
      </c>
      <c r="G1433" s="80" t="b">
        <v>0</v>
      </c>
    </row>
    <row r="1434" spans="1:7" ht="15">
      <c r="A1434" s="81" t="s">
        <v>2346</v>
      </c>
      <c r="B1434" s="80">
        <v>2</v>
      </c>
      <c r="C1434" s="104">
        <v>0.0013875335073667869</v>
      </c>
      <c r="D1434" s="80" t="s">
        <v>2184</v>
      </c>
      <c r="E1434" s="80" t="b">
        <v>0</v>
      </c>
      <c r="F1434" s="80" t="b">
        <v>0</v>
      </c>
      <c r="G1434" s="80" t="b">
        <v>0</v>
      </c>
    </row>
    <row r="1435" spans="1:7" ht="15">
      <c r="A1435" s="81" t="s">
        <v>3124</v>
      </c>
      <c r="B1435" s="80">
        <v>2</v>
      </c>
      <c r="C1435" s="104">
        <v>0.0010887444297846714</v>
      </c>
      <c r="D1435" s="80" t="s">
        <v>2184</v>
      </c>
      <c r="E1435" s="80" t="b">
        <v>0</v>
      </c>
      <c r="F1435" s="80" t="b">
        <v>0</v>
      </c>
      <c r="G1435" s="80" t="b">
        <v>0</v>
      </c>
    </row>
    <row r="1436" spans="1:7" ht="15">
      <c r="A1436" s="81" t="s">
        <v>2997</v>
      </c>
      <c r="B1436" s="80">
        <v>2</v>
      </c>
      <c r="C1436" s="104">
        <v>0.0010887444297846714</v>
      </c>
      <c r="D1436" s="80" t="s">
        <v>2184</v>
      </c>
      <c r="E1436" s="80" t="b">
        <v>0</v>
      </c>
      <c r="F1436" s="80" t="b">
        <v>0</v>
      </c>
      <c r="G1436" s="80" t="b">
        <v>0</v>
      </c>
    </row>
    <row r="1437" spans="1:7" ht="15">
      <c r="A1437" s="81" t="s">
        <v>3183</v>
      </c>
      <c r="B1437" s="80">
        <v>2</v>
      </c>
      <c r="C1437" s="104">
        <v>0.0010887444297846714</v>
      </c>
      <c r="D1437" s="80" t="s">
        <v>2184</v>
      </c>
      <c r="E1437" s="80" t="b">
        <v>0</v>
      </c>
      <c r="F1437" s="80" t="b">
        <v>0</v>
      </c>
      <c r="G1437" s="80" t="b">
        <v>0</v>
      </c>
    </row>
    <row r="1438" spans="1:7" ht="15">
      <c r="A1438" s="81" t="s">
        <v>2726</v>
      </c>
      <c r="B1438" s="80">
        <v>2</v>
      </c>
      <c r="C1438" s="104">
        <v>0.0010887444297846714</v>
      </c>
      <c r="D1438" s="80" t="s">
        <v>2184</v>
      </c>
      <c r="E1438" s="80" t="b">
        <v>0</v>
      </c>
      <c r="F1438" s="80" t="b">
        <v>0</v>
      </c>
      <c r="G1438" s="80" t="b">
        <v>0</v>
      </c>
    </row>
    <row r="1439" spans="1:7" ht="15">
      <c r="A1439" s="81" t="s">
        <v>2647</v>
      </c>
      <c r="B1439" s="80">
        <v>2</v>
      </c>
      <c r="C1439" s="104">
        <v>0.0013875335073667869</v>
      </c>
      <c r="D1439" s="80" t="s">
        <v>2184</v>
      </c>
      <c r="E1439" s="80" t="b">
        <v>0</v>
      </c>
      <c r="F1439" s="80" t="b">
        <v>0</v>
      </c>
      <c r="G1439" s="80" t="b">
        <v>0</v>
      </c>
    </row>
    <row r="1440" spans="1:7" ht="15">
      <c r="A1440" s="81" t="s">
        <v>2955</v>
      </c>
      <c r="B1440" s="80">
        <v>2</v>
      </c>
      <c r="C1440" s="104">
        <v>0.0010887444297846714</v>
      </c>
      <c r="D1440" s="80" t="s">
        <v>2184</v>
      </c>
      <c r="E1440" s="80" t="b">
        <v>0</v>
      </c>
      <c r="F1440" s="80" t="b">
        <v>0</v>
      </c>
      <c r="G1440" s="80" t="b">
        <v>0</v>
      </c>
    </row>
    <row r="1441" spans="1:7" ht="15">
      <c r="A1441" s="81" t="s">
        <v>2578</v>
      </c>
      <c r="B1441" s="80">
        <v>2</v>
      </c>
      <c r="C1441" s="104">
        <v>0.0013875335073667869</v>
      </c>
      <c r="D1441" s="80" t="s">
        <v>2184</v>
      </c>
      <c r="E1441" s="80" t="b">
        <v>0</v>
      </c>
      <c r="F1441" s="80" t="b">
        <v>0</v>
      </c>
      <c r="G1441" s="80" t="b">
        <v>0</v>
      </c>
    </row>
    <row r="1442" spans="1:7" ht="15">
      <c r="A1442" s="81" t="s">
        <v>2679</v>
      </c>
      <c r="B1442" s="80">
        <v>2</v>
      </c>
      <c r="C1442" s="104">
        <v>0.0013875335073667869</v>
      </c>
      <c r="D1442" s="80" t="s">
        <v>2184</v>
      </c>
      <c r="E1442" s="80" t="b">
        <v>0</v>
      </c>
      <c r="F1442" s="80" t="b">
        <v>0</v>
      </c>
      <c r="G1442" s="80" t="b">
        <v>0</v>
      </c>
    </row>
    <row r="1443" spans="1:7" ht="15">
      <c r="A1443" s="81" t="s">
        <v>2637</v>
      </c>
      <c r="B1443" s="80">
        <v>2</v>
      </c>
      <c r="C1443" s="104">
        <v>0.0013875335073667869</v>
      </c>
      <c r="D1443" s="80" t="s">
        <v>2184</v>
      </c>
      <c r="E1443" s="80" t="b">
        <v>1</v>
      </c>
      <c r="F1443" s="80" t="b">
        <v>0</v>
      </c>
      <c r="G1443" s="80" t="b">
        <v>0</v>
      </c>
    </row>
    <row r="1444" spans="1:7" ht="15">
      <c r="A1444" s="81" t="s">
        <v>2402</v>
      </c>
      <c r="B1444" s="80">
        <v>2</v>
      </c>
      <c r="C1444" s="104">
        <v>0.0013875335073667869</v>
      </c>
      <c r="D1444" s="80" t="s">
        <v>2184</v>
      </c>
      <c r="E1444" s="80" t="b">
        <v>0</v>
      </c>
      <c r="F1444" s="80" t="b">
        <v>0</v>
      </c>
      <c r="G1444" s="80" t="b">
        <v>0</v>
      </c>
    </row>
    <row r="1445" spans="1:7" ht="15">
      <c r="A1445" s="81" t="s">
        <v>3296</v>
      </c>
      <c r="B1445" s="80">
        <v>2</v>
      </c>
      <c r="C1445" s="104">
        <v>0.0013875335073667869</v>
      </c>
      <c r="D1445" s="80" t="s">
        <v>2184</v>
      </c>
      <c r="E1445" s="80" t="b">
        <v>0</v>
      </c>
      <c r="F1445" s="80" t="b">
        <v>0</v>
      </c>
      <c r="G1445" s="80" t="b">
        <v>0</v>
      </c>
    </row>
    <row r="1446" spans="1:7" ht="15">
      <c r="A1446" s="81" t="s">
        <v>2382</v>
      </c>
      <c r="B1446" s="80">
        <v>2</v>
      </c>
      <c r="C1446" s="104">
        <v>0.0010887444297846714</v>
      </c>
      <c r="D1446" s="80" t="s">
        <v>2184</v>
      </c>
      <c r="E1446" s="80" t="b">
        <v>0</v>
      </c>
      <c r="F1446" s="80" t="b">
        <v>0</v>
      </c>
      <c r="G1446" s="80" t="b">
        <v>0</v>
      </c>
    </row>
    <row r="1447" spans="1:7" ht="15">
      <c r="A1447" s="81" t="s">
        <v>2847</v>
      </c>
      <c r="B1447" s="80">
        <v>2</v>
      </c>
      <c r="C1447" s="104">
        <v>0.0010887444297846714</v>
      </c>
      <c r="D1447" s="80" t="s">
        <v>2184</v>
      </c>
      <c r="E1447" s="80" t="b">
        <v>0</v>
      </c>
      <c r="F1447" s="80" t="b">
        <v>0</v>
      </c>
      <c r="G1447" s="80" t="b">
        <v>0</v>
      </c>
    </row>
    <row r="1448" spans="1:7" ht="15">
      <c r="A1448" s="81" t="s">
        <v>3334</v>
      </c>
      <c r="B1448" s="80">
        <v>2</v>
      </c>
      <c r="C1448" s="104">
        <v>0.0010887444297846714</v>
      </c>
      <c r="D1448" s="80" t="s">
        <v>2184</v>
      </c>
      <c r="E1448" s="80" t="b">
        <v>0</v>
      </c>
      <c r="F1448" s="80" t="b">
        <v>0</v>
      </c>
      <c r="G1448" s="80" t="b">
        <v>0</v>
      </c>
    </row>
    <row r="1449" spans="1:7" ht="15">
      <c r="A1449" s="81" t="s">
        <v>2476</v>
      </c>
      <c r="B1449" s="80">
        <v>2</v>
      </c>
      <c r="C1449" s="104">
        <v>0.0010887444297846714</v>
      </c>
      <c r="D1449" s="80" t="s">
        <v>2184</v>
      </c>
      <c r="E1449" s="80" t="b">
        <v>0</v>
      </c>
      <c r="F1449" s="80" t="b">
        <v>0</v>
      </c>
      <c r="G1449" s="80" t="b">
        <v>0</v>
      </c>
    </row>
    <row r="1450" spans="1:7" ht="15">
      <c r="A1450" s="81" t="s">
        <v>3314</v>
      </c>
      <c r="B1450" s="80">
        <v>2</v>
      </c>
      <c r="C1450" s="104">
        <v>0.0013875335073667869</v>
      </c>
      <c r="D1450" s="80" t="s">
        <v>2184</v>
      </c>
      <c r="E1450" s="80" t="b">
        <v>0</v>
      </c>
      <c r="F1450" s="80" t="b">
        <v>0</v>
      </c>
      <c r="G1450" s="80" t="b">
        <v>0</v>
      </c>
    </row>
    <row r="1451" spans="1:7" ht="15">
      <c r="A1451" s="81" t="s">
        <v>3087</v>
      </c>
      <c r="B1451" s="80">
        <v>2</v>
      </c>
      <c r="C1451" s="104">
        <v>0.0010887444297846714</v>
      </c>
      <c r="D1451" s="80" t="s">
        <v>2184</v>
      </c>
      <c r="E1451" s="80" t="b">
        <v>0</v>
      </c>
      <c r="F1451" s="80" t="b">
        <v>0</v>
      </c>
      <c r="G1451" s="80" t="b">
        <v>0</v>
      </c>
    </row>
    <row r="1452" spans="1:7" ht="15">
      <c r="A1452" s="81" t="s">
        <v>2868</v>
      </c>
      <c r="B1452" s="80">
        <v>2</v>
      </c>
      <c r="C1452" s="104">
        <v>0.0010887444297846714</v>
      </c>
      <c r="D1452" s="80" t="s">
        <v>2184</v>
      </c>
      <c r="E1452" s="80" t="b">
        <v>0</v>
      </c>
      <c r="F1452" s="80" t="b">
        <v>0</v>
      </c>
      <c r="G1452" s="80" t="b">
        <v>0</v>
      </c>
    </row>
    <row r="1453" spans="1:7" ht="15">
      <c r="A1453" s="81" t="s">
        <v>3010</v>
      </c>
      <c r="B1453" s="80">
        <v>2</v>
      </c>
      <c r="C1453" s="104">
        <v>0.0013875335073667869</v>
      </c>
      <c r="D1453" s="80" t="s">
        <v>2184</v>
      </c>
      <c r="E1453" s="80" t="b">
        <v>0</v>
      </c>
      <c r="F1453" s="80" t="b">
        <v>0</v>
      </c>
      <c r="G1453" s="80" t="b">
        <v>0</v>
      </c>
    </row>
    <row r="1454" spans="1:7" ht="15">
      <c r="A1454" s="81" t="s">
        <v>3062</v>
      </c>
      <c r="B1454" s="80">
        <v>2</v>
      </c>
      <c r="C1454" s="104">
        <v>0.0010887444297846714</v>
      </c>
      <c r="D1454" s="80" t="s">
        <v>2184</v>
      </c>
      <c r="E1454" s="80" t="b">
        <v>0</v>
      </c>
      <c r="F1454" s="80" t="b">
        <v>0</v>
      </c>
      <c r="G1454" s="80" t="b">
        <v>0</v>
      </c>
    </row>
    <row r="1455" spans="1:7" ht="15">
      <c r="A1455" s="81" t="s">
        <v>2650</v>
      </c>
      <c r="B1455" s="80">
        <v>2</v>
      </c>
      <c r="C1455" s="104">
        <v>0.0013875335073667869</v>
      </c>
      <c r="D1455" s="80" t="s">
        <v>2184</v>
      </c>
      <c r="E1455" s="80" t="b">
        <v>0</v>
      </c>
      <c r="F1455" s="80" t="b">
        <v>0</v>
      </c>
      <c r="G1455" s="80" t="b">
        <v>0</v>
      </c>
    </row>
    <row r="1456" spans="1:7" ht="15">
      <c r="A1456" s="81" t="s">
        <v>2845</v>
      </c>
      <c r="B1456" s="80">
        <v>2</v>
      </c>
      <c r="C1456" s="104">
        <v>0.0010887444297846714</v>
      </c>
      <c r="D1456" s="80" t="s">
        <v>2184</v>
      </c>
      <c r="E1456" s="80" t="b">
        <v>0</v>
      </c>
      <c r="F1456" s="80" t="b">
        <v>0</v>
      </c>
      <c r="G1456" s="80" t="b">
        <v>0</v>
      </c>
    </row>
    <row r="1457" spans="1:7" ht="15">
      <c r="A1457" s="81" t="s">
        <v>2270</v>
      </c>
      <c r="B1457" s="80">
        <v>2</v>
      </c>
      <c r="C1457" s="104">
        <v>0.0010887444297846714</v>
      </c>
      <c r="D1457" s="80" t="s">
        <v>2184</v>
      </c>
      <c r="E1457" s="80" t="b">
        <v>0</v>
      </c>
      <c r="F1457" s="80" t="b">
        <v>0</v>
      </c>
      <c r="G1457" s="80" t="b">
        <v>0</v>
      </c>
    </row>
    <row r="1458" spans="1:7" ht="15">
      <c r="A1458" s="81" t="s">
        <v>2461</v>
      </c>
      <c r="B1458" s="80">
        <v>2</v>
      </c>
      <c r="C1458" s="104">
        <v>0.0010887444297846714</v>
      </c>
      <c r="D1458" s="80" t="s">
        <v>2184</v>
      </c>
      <c r="E1458" s="80" t="b">
        <v>0</v>
      </c>
      <c r="F1458" s="80" t="b">
        <v>0</v>
      </c>
      <c r="G1458" s="80" t="b">
        <v>0</v>
      </c>
    </row>
    <row r="1459" spans="1:7" ht="15">
      <c r="A1459" s="81" t="s">
        <v>2852</v>
      </c>
      <c r="B1459" s="80">
        <v>2</v>
      </c>
      <c r="C1459" s="104">
        <v>0.0010887444297846714</v>
      </c>
      <c r="D1459" s="80" t="s">
        <v>2184</v>
      </c>
      <c r="E1459" s="80" t="b">
        <v>0</v>
      </c>
      <c r="F1459" s="80" t="b">
        <v>0</v>
      </c>
      <c r="G1459" s="80" t="b">
        <v>0</v>
      </c>
    </row>
    <row r="1460" spans="1:7" ht="15">
      <c r="A1460" s="81" t="s">
        <v>2525</v>
      </c>
      <c r="B1460" s="80">
        <v>2</v>
      </c>
      <c r="C1460" s="104">
        <v>0.0010887444297846714</v>
      </c>
      <c r="D1460" s="80" t="s">
        <v>2184</v>
      </c>
      <c r="E1460" s="80" t="b">
        <v>0</v>
      </c>
      <c r="F1460" s="80" t="b">
        <v>0</v>
      </c>
      <c r="G1460" s="80" t="b">
        <v>0</v>
      </c>
    </row>
    <row r="1461" spans="1:7" ht="15">
      <c r="A1461" s="81" t="s">
        <v>2513</v>
      </c>
      <c r="B1461" s="80">
        <v>2</v>
      </c>
      <c r="C1461" s="104">
        <v>0.0010887444297846714</v>
      </c>
      <c r="D1461" s="80" t="s">
        <v>2184</v>
      </c>
      <c r="E1461" s="80" t="b">
        <v>0</v>
      </c>
      <c r="F1461" s="80" t="b">
        <v>0</v>
      </c>
      <c r="G1461" s="80" t="b">
        <v>0</v>
      </c>
    </row>
    <row r="1462" spans="1:7" ht="15">
      <c r="A1462" s="81" t="s">
        <v>2706</v>
      </c>
      <c r="B1462" s="80">
        <v>2</v>
      </c>
      <c r="C1462" s="104">
        <v>0.0010887444297846714</v>
      </c>
      <c r="D1462" s="80" t="s">
        <v>2184</v>
      </c>
      <c r="E1462" s="80" t="b">
        <v>0</v>
      </c>
      <c r="F1462" s="80" t="b">
        <v>0</v>
      </c>
      <c r="G1462" s="80" t="b">
        <v>0</v>
      </c>
    </row>
    <row r="1463" spans="1:7" ht="15">
      <c r="A1463" s="81" t="s">
        <v>2289</v>
      </c>
      <c r="B1463" s="80">
        <v>2</v>
      </c>
      <c r="C1463" s="104">
        <v>0.0013875335073667869</v>
      </c>
      <c r="D1463" s="80" t="s">
        <v>2184</v>
      </c>
      <c r="E1463" s="80" t="b">
        <v>0</v>
      </c>
      <c r="F1463" s="80" t="b">
        <v>0</v>
      </c>
      <c r="G1463" s="80" t="b">
        <v>0</v>
      </c>
    </row>
    <row r="1464" spans="1:7" ht="15">
      <c r="A1464" s="81" t="s">
        <v>2915</v>
      </c>
      <c r="B1464" s="80">
        <v>2</v>
      </c>
      <c r="C1464" s="104">
        <v>0.0010887444297846714</v>
      </c>
      <c r="D1464" s="80" t="s">
        <v>2184</v>
      </c>
      <c r="E1464" s="80" t="b">
        <v>0</v>
      </c>
      <c r="F1464" s="80" t="b">
        <v>0</v>
      </c>
      <c r="G1464" s="80" t="b">
        <v>0</v>
      </c>
    </row>
    <row r="1465" spans="1:7" ht="15">
      <c r="A1465" s="81" t="s">
        <v>3219</v>
      </c>
      <c r="B1465" s="80">
        <v>2</v>
      </c>
      <c r="C1465" s="104">
        <v>0.0010887444297846714</v>
      </c>
      <c r="D1465" s="80" t="s">
        <v>2184</v>
      </c>
      <c r="E1465" s="80" t="b">
        <v>0</v>
      </c>
      <c r="F1465" s="80" t="b">
        <v>0</v>
      </c>
      <c r="G1465" s="80" t="b">
        <v>0</v>
      </c>
    </row>
    <row r="1466" spans="1:7" ht="15">
      <c r="A1466" s="81" t="s">
        <v>2873</v>
      </c>
      <c r="B1466" s="80">
        <v>2</v>
      </c>
      <c r="C1466" s="104">
        <v>0.0010887444297846714</v>
      </c>
      <c r="D1466" s="80" t="s">
        <v>2184</v>
      </c>
      <c r="E1466" s="80" t="b">
        <v>0</v>
      </c>
      <c r="F1466" s="80" t="b">
        <v>0</v>
      </c>
      <c r="G1466" s="80" t="b">
        <v>0</v>
      </c>
    </row>
    <row r="1467" spans="1:7" ht="15">
      <c r="A1467" s="81" t="s">
        <v>3318</v>
      </c>
      <c r="B1467" s="80">
        <v>2</v>
      </c>
      <c r="C1467" s="104">
        <v>0.0010887444297846714</v>
      </c>
      <c r="D1467" s="80" t="s">
        <v>2184</v>
      </c>
      <c r="E1467" s="80" t="b">
        <v>0</v>
      </c>
      <c r="F1467" s="80" t="b">
        <v>0</v>
      </c>
      <c r="G1467" s="80" t="b">
        <v>0</v>
      </c>
    </row>
    <row r="1468" spans="1:7" ht="15">
      <c r="A1468" s="81" t="s">
        <v>2266</v>
      </c>
      <c r="B1468" s="80">
        <v>2</v>
      </c>
      <c r="C1468" s="104">
        <v>0.0010887444297846714</v>
      </c>
      <c r="D1468" s="80" t="s">
        <v>2184</v>
      </c>
      <c r="E1468" s="80" t="b">
        <v>0</v>
      </c>
      <c r="F1468" s="80" t="b">
        <v>0</v>
      </c>
      <c r="G1468" s="80" t="b">
        <v>0</v>
      </c>
    </row>
    <row r="1469" spans="1:7" ht="15">
      <c r="A1469" s="81" t="s">
        <v>3155</v>
      </c>
      <c r="B1469" s="80">
        <v>2</v>
      </c>
      <c r="C1469" s="104">
        <v>0.0010887444297846714</v>
      </c>
      <c r="D1469" s="80" t="s">
        <v>2184</v>
      </c>
      <c r="E1469" s="80" t="b">
        <v>0</v>
      </c>
      <c r="F1469" s="80" t="b">
        <v>0</v>
      </c>
      <c r="G1469" s="80" t="b">
        <v>0</v>
      </c>
    </row>
    <row r="1470" spans="1:7" ht="15">
      <c r="A1470" s="81" t="s">
        <v>2352</v>
      </c>
      <c r="B1470" s="80">
        <v>2</v>
      </c>
      <c r="C1470" s="104">
        <v>0.0010887444297846714</v>
      </c>
      <c r="D1470" s="80" t="s">
        <v>2184</v>
      </c>
      <c r="E1470" s="80" t="b">
        <v>0</v>
      </c>
      <c r="F1470" s="80" t="b">
        <v>0</v>
      </c>
      <c r="G1470" s="80" t="b">
        <v>0</v>
      </c>
    </row>
    <row r="1471" spans="1:7" ht="15">
      <c r="A1471" s="81" t="s">
        <v>2785</v>
      </c>
      <c r="B1471" s="80">
        <v>2</v>
      </c>
      <c r="C1471" s="104">
        <v>0.0013875335073667869</v>
      </c>
      <c r="D1471" s="80" t="s">
        <v>2184</v>
      </c>
      <c r="E1471" s="80" t="b">
        <v>0</v>
      </c>
      <c r="F1471" s="80" t="b">
        <v>0</v>
      </c>
      <c r="G1471" s="80" t="b">
        <v>0</v>
      </c>
    </row>
    <row r="1472" spans="1:7" ht="15">
      <c r="A1472" s="81" t="s">
        <v>2308</v>
      </c>
      <c r="B1472" s="80">
        <v>2</v>
      </c>
      <c r="C1472" s="104">
        <v>0.0010887444297846714</v>
      </c>
      <c r="D1472" s="80" t="s">
        <v>2184</v>
      </c>
      <c r="E1472" s="80" t="b">
        <v>0</v>
      </c>
      <c r="F1472" s="80" t="b">
        <v>0</v>
      </c>
      <c r="G1472" s="80" t="b">
        <v>0</v>
      </c>
    </row>
    <row r="1473" spans="1:7" ht="15">
      <c r="A1473" s="81" t="s">
        <v>2378</v>
      </c>
      <c r="B1473" s="80">
        <v>2</v>
      </c>
      <c r="C1473" s="104">
        <v>0.0010887444297846714</v>
      </c>
      <c r="D1473" s="80" t="s">
        <v>2184</v>
      </c>
      <c r="E1473" s="80" t="b">
        <v>0</v>
      </c>
      <c r="F1473" s="80" t="b">
        <v>1</v>
      </c>
      <c r="G1473" s="80" t="b">
        <v>0</v>
      </c>
    </row>
    <row r="1474" spans="1:7" ht="15">
      <c r="A1474" s="81" t="s">
        <v>2772</v>
      </c>
      <c r="B1474" s="80">
        <v>2</v>
      </c>
      <c r="C1474" s="104">
        <v>0.0013875335073667869</v>
      </c>
      <c r="D1474" s="80" t="s">
        <v>2184</v>
      </c>
      <c r="E1474" s="80" t="b">
        <v>0</v>
      </c>
      <c r="F1474" s="80" t="b">
        <v>0</v>
      </c>
      <c r="G1474" s="80" t="b">
        <v>0</v>
      </c>
    </row>
    <row r="1475" spans="1:7" ht="15">
      <c r="A1475" s="81" t="s">
        <v>2721</v>
      </c>
      <c r="B1475" s="80">
        <v>2</v>
      </c>
      <c r="C1475" s="104">
        <v>0.0010887444297846714</v>
      </c>
      <c r="D1475" s="80" t="s">
        <v>2184</v>
      </c>
      <c r="E1475" s="80" t="b">
        <v>0</v>
      </c>
      <c r="F1475" s="80" t="b">
        <v>0</v>
      </c>
      <c r="G1475" s="80" t="b">
        <v>0</v>
      </c>
    </row>
    <row r="1476" spans="1:7" ht="15">
      <c r="A1476" s="81" t="s">
        <v>2454</v>
      </c>
      <c r="B1476" s="80">
        <v>2</v>
      </c>
      <c r="C1476" s="104">
        <v>0.0013875335073667869</v>
      </c>
      <c r="D1476" s="80" t="s">
        <v>2184</v>
      </c>
      <c r="E1476" s="80" t="b">
        <v>0</v>
      </c>
      <c r="F1476" s="80" t="b">
        <v>0</v>
      </c>
      <c r="G1476" s="80" t="b">
        <v>0</v>
      </c>
    </row>
    <row r="1477" spans="1:7" ht="15">
      <c r="A1477" s="81" t="s">
        <v>3159</v>
      </c>
      <c r="B1477" s="80">
        <v>2</v>
      </c>
      <c r="C1477" s="104">
        <v>0.0013875335073667869</v>
      </c>
      <c r="D1477" s="80" t="s">
        <v>2184</v>
      </c>
      <c r="E1477" s="80" t="b">
        <v>0</v>
      </c>
      <c r="F1477" s="80" t="b">
        <v>0</v>
      </c>
      <c r="G1477" s="80" t="b">
        <v>0</v>
      </c>
    </row>
    <row r="1478" spans="1:7" ht="15">
      <c r="A1478" s="81" t="s">
        <v>3133</v>
      </c>
      <c r="B1478" s="80">
        <v>2</v>
      </c>
      <c r="C1478" s="104">
        <v>0.0010887444297846714</v>
      </c>
      <c r="D1478" s="80" t="s">
        <v>2184</v>
      </c>
      <c r="E1478" s="80" t="b">
        <v>0</v>
      </c>
      <c r="F1478" s="80" t="b">
        <v>0</v>
      </c>
      <c r="G1478" s="80" t="b">
        <v>0</v>
      </c>
    </row>
    <row r="1479" spans="1:7" ht="15">
      <c r="A1479" s="81" t="s">
        <v>3202</v>
      </c>
      <c r="B1479" s="80">
        <v>2</v>
      </c>
      <c r="C1479" s="104">
        <v>0.0013875335073667869</v>
      </c>
      <c r="D1479" s="80" t="s">
        <v>2184</v>
      </c>
      <c r="E1479" s="80" t="b">
        <v>1</v>
      </c>
      <c r="F1479" s="80" t="b">
        <v>0</v>
      </c>
      <c r="G1479" s="80" t="b">
        <v>0</v>
      </c>
    </row>
    <row r="1480" spans="1:7" ht="15">
      <c r="A1480" s="81" t="s">
        <v>2645</v>
      </c>
      <c r="B1480" s="80">
        <v>2</v>
      </c>
      <c r="C1480" s="104">
        <v>0.0010887444297846714</v>
      </c>
      <c r="D1480" s="80" t="s">
        <v>2184</v>
      </c>
      <c r="E1480" s="80" t="b">
        <v>0</v>
      </c>
      <c r="F1480" s="80" t="b">
        <v>0</v>
      </c>
      <c r="G1480" s="80" t="b">
        <v>0</v>
      </c>
    </row>
    <row r="1481" spans="1:7" ht="15">
      <c r="A1481" s="81" t="s">
        <v>2593</v>
      </c>
      <c r="B1481" s="80">
        <v>2</v>
      </c>
      <c r="C1481" s="104">
        <v>0.0010887444297846714</v>
      </c>
      <c r="D1481" s="80" t="s">
        <v>2184</v>
      </c>
      <c r="E1481" s="80" t="b">
        <v>0</v>
      </c>
      <c r="F1481" s="80" t="b">
        <v>0</v>
      </c>
      <c r="G1481" s="80" t="b">
        <v>0</v>
      </c>
    </row>
    <row r="1482" spans="1:7" ht="15">
      <c r="A1482" s="81" t="s">
        <v>3209</v>
      </c>
      <c r="B1482" s="80">
        <v>2</v>
      </c>
      <c r="C1482" s="104">
        <v>0.0010887444297846714</v>
      </c>
      <c r="D1482" s="80" t="s">
        <v>2184</v>
      </c>
      <c r="E1482" s="80" t="b">
        <v>0</v>
      </c>
      <c r="F1482" s="80" t="b">
        <v>0</v>
      </c>
      <c r="G1482" s="80" t="b">
        <v>0</v>
      </c>
    </row>
    <row r="1483" spans="1:7" ht="15">
      <c r="A1483" s="81" t="s">
        <v>3295</v>
      </c>
      <c r="B1483" s="80">
        <v>2</v>
      </c>
      <c r="C1483" s="104">
        <v>0.0013875335073667869</v>
      </c>
      <c r="D1483" s="80" t="s">
        <v>2184</v>
      </c>
      <c r="E1483" s="80" t="b">
        <v>0</v>
      </c>
      <c r="F1483" s="80" t="b">
        <v>0</v>
      </c>
      <c r="G1483" s="80" t="b">
        <v>0</v>
      </c>
    </row>
    <row r="1484" spans="1:7" ht="15">
      <c r="A1484" s="81" t="s">
        <v>2549</v>
      </c>
      <c r="B1484" s="80">
        <v>2</v>
      </c>
      <c r="C1484" s="104">
        <v>0.0010887444297846714</v>
      </c>
      <c r="D1484" s="80" t="s">
        <v>2184</v>
      </c>
      <c r="E1484" s="80" t="b">
        <v>1</v>
      </c>
      <c r="F1484" s="80" t="b">
        <v>0</v>
      </c>
      <c r="G1484" s="80" t="b">
        <v>0</v>
      </c>
    </row>
    <row r="1485" spans="1:7" ht="15">
      <c r="A1485" s="81" t="s">
        <v>2213</v>
      </c>
      <c r="B1485" s="80">
        <v>39</v>
      </c>
      <c r="C1485" s="104">
        <v>0.0025453473197639925</v>
      </c>
      <c r="D1485" s="80" t="s">
        <v>2185</v>
      </c>
      <c r="E1485" s="80" t="b">
        <v>0</v>
      </c>
      <c r="F1485" s="80" t="b">
        <v>0</v>
      </c>
      <c r="G1485" s="80" t="b">
        <v>0</v>
      </c>
    </row>
    <row r="1486" spans="1:7" ht="15">
      <c r="A1486" s="81" t="s">
        <v>2223</v>
      </c>
      <c r="B1486" s="80">
        <v>33</v>
      </c>
      <c r="C1486" s="104">
        <v>0.007881054838340253</v>
      </c>
      <c r="D1486" s="80" t="s">
        <v>2185</v>
      </c>
      <c r="E1486" s="80" t="b">
        <v>0</v>
      </c>
      <c r="F1486" s="80" t="b">
        <v>0</v>
      </c>
      <c r="G1486" s="80" t="b">
        <v>0</v>
      </c>
    </row>
    <row r="1487" spans="1:7" ht="15">
      <c r="A1487" s="81" t="s">
        <v>2214</v>
      </c>
      <c r="B1487" s="80">
        <v>33</v>
      </c>
      <c r="C1487" s="104">
        <v>0.002153755424415686</v>
      </c>
      <c r="D1487" s="80" t="s">
        <v>2185</v>
      </c>
      <c r="E1487" s="80" t="b">
        <v>0</v>
      </c>
      <c r="F1487" s="80" t="b">
        <v>0</v>
      </c>
      <c r="G1487" s="80" t="b">
        <v>0</v>
      </c>
    </row>
    <row r="1488" spans="1:7" ht="15">
      <c r="A1488" s="81" t="s">
        <v>2217</v>
      </c>
      <c r="B1488" s="80">
        <v>22</v>
      </c>
      <c r="C1488" s="104">
        <v>0.0033197330880364185</v>
      </c>
      <c r="D1488" s="80" t="s">
        <v>2185</v>
      </c>
      <c r="E1488" s="80" t="b">
        <v>0</v>
      </c>
      <c r="F1488" s="80" t="b">
        <v>0</v>
      </c>
      <c r="G1488" s="80" t="b">
        <v>0</v>
      </c>
    </row>
    <row r="1489" spans="1:7" ht="15">
      <c r="A1489" s="81" t="s">
        <v>2218</v>
      </c>
      <c r="B1489" s="80">
        <v>22</v>
      </c>
      <c r="C1489" s="104">
        <v>0.005254036558893502</v>
      </c>
      <c r="D1489" s="80" t="s">
        <v>2185</v>
      </c>
      <c r="E1489" s="80" t="b">
        <v>0</v>
      </c>
      <c r="F1489" s="80" t="b">
        <v>0</v>
      </c>
      <c r="G1489" s="80" t="b">
        <v>0</v>
      </c>
    </row>
    <row r="1490" spans="1:7" ht="15">
      <c r="A1490" s="81" t="s">
        <v>2216</v>
      </c>
      <c r="B1490" s="80">
        <v>21</v>
      </c>
      <c r="C1490" s="104">
        <v>0.001770589237613738</v>
      </c>
      <c r="D1490" s="80" t="s">
        <v>2185</v>
      </c>
      <c r="E1490" s="80" t="b">
        <v>0</v>
      </c>
      <c r="F1490" s="80" t="b">
        <v>0</v>
      </c>
      <c r="G1490" s="80" t="b">
        <v>0</v>
      </c>
    </row>
    <row r="1491" spans="1:7" ht="15">
      <c r="A1491" s="81" t="s">
        <v>2228</v>
      </c>
      <c r="B1491" s="80">
        <v>19</v>
      </c>
      <c r="C1491" s="104">
        <v>0.007003107651442716</v>
      </c>
      <c r="D1491" s="80" t="s">
        <v>2185</v>
      </c>
      <c r="E1491" s="80" t="b">
        <v>0</v>
      </c>
      <c r="F1491" s="80" t="b">
        <v>0</v>
      </c>
      <c r="G1491" s="80" t="b">
        <v>0</v>
      </c>
    </row>
    <row r="1492" spans="1:7" ht="15">
      <c r="A1492" s="81" t="s">
        <v>2248</v>
      </c>
      <c r="B1492" s="80">
        <v>17</v>
      </c>
      <c r="C1492" s="104">
        <v>0.004059937340963161</v>
      </c>
      <c r="D1492" s="80" t="s">
        <v>2185</v>
      </c>
      <c r="E1492" s="80" t="b">
        <v>0</v>
      </c>
      <c r="F1492" s="80" t="b">
        <v>0</v>
      </c>
      <c r="G1492" s="80" t="b">
        <v>0</v>
      </c>
    </row>
    <row r="1493" spans="1:7" ht="15">
      <c r="A1493" s="81" t="s">
        <v>2277</v>
      </c>
      <c r="B1493" s="80">
        <v>15</v>
      </c>
      <c r="C1493" s="104">
        <v>0.005528769198507407</v>
      </c>
      <c r="D1493" s="80" t="s">
        <v>2185</v>
      </c>
      <c r="E1493" s="80" t="b">
        <v>0</v>
      </c>
      <c r="F1493" s="80" t="b">
        <v>0</v>
      </c>
      <c r="G1493" s="80" t="b">
        <v>0</v>
      </c>
    </row>
    <row r="1494" spans="1:7" ht="15">
      <c r="A1494" s="81" t="s">
        <v>2215</v>
      </c>
      <c r="B1494" s="80">
        <v>14</v>
      </c>
      <c r="C1494" s="104">
        <v>0.00288821060469743</v>
      </c>
      <c r="D1494" s="80" t="s">
        <v>2185</v>
      </c>
      <c r="E1494" s="80" t="b">
        <v>0</v>
      </c>
      <c r="F1494" s="80" t="b">
        <v>0</v>
      </c>
      <c r="G1494" s="80" t="b">
        <v>0</v>
      </c>
    </row>
    <row r="1495" spans="1:7" ht="15">
      <c r="A1495" s="81" t="s">
        <v>2233</v>
      </c>
      <c r="B1495" s="80">
        <v>13</v>
      </c>
      <c r="C1495" s="104">
        <v>0.0013620681706280344</v>
      </c>
      <c r="D1495" s="80" t="s">
        <v>2185</v>
      </c>
      <c r="E1495" s="80" t="b">
        <v>0</v>
      </c>
      <c r="F1495" s="80" t="b">
        <v>0</v>
      </c>
      <c r="G1495" s="80" t="b">
        <v>0</v>
      </c>
    </row>
    <row r="1496" spans="1:7" ht="15">
      <c r="A1496" s="81" t="s">
        <v>2221</v>
      </c>
      <c r="B1496" s="80">
        <v>12</v>
      </c>
      <c r="C1496" s="104">
        <v>0.001810763502565319</v>
      </c>
      <c r="D1496" s="80" t="s">
        <v>2185</v>
      </c>
      <c r="E1496" s="80" t="b">
        <v>0</v>
      </c>
      <c r="F1496" s="80" t="b">
        <v>0</v>
      </c>
      <c r="G1496" s="80" t="b">
        <v>0</v>
      </c>
    </row>
    <row r="1497" spans="1:7" ht="15">
      <c r="A1497" s="81" t="s">
        <v>2242</v>
      </c>
      <c r="B1497" s="80">
        <v>11</v>
      </c>
      <c r="C1497" s="104">
        <v>0.0030325563701998053</v>
      </c>
      <c r="D1497" s="80" t="s">
        <v>2185</v>
      </c>
      <c r="E1497" s="80" t="b">
        <v>0</v>
      </c>
      <c r="F1497" s="80" t="b">
        <v>0</v>
      </c>
      <c r="G1497" s="80" t="b">
        <v>0</v>
      </c>
    </row>
    <row r="1498" spans="1:7" ht="15">
      <c r="A1498" s="81" t="s">
        <v>2332</v>
      </c>
      <c r="B1498" s="80">
        <v>10</v>
      </c>
      <c r="C1498" s="104">
        <v>0.003182468852950956</v>
      </c>
      <c r="D1498" s="80" t="s">
        <v>2185</v>
      </c>
      <c r="E1498" s="80" t="b">
        <v>0</v>
      </c>
      <c r="F1498" s="80" t="b">
        <v>0</v>
      </c>
      <c r="G1498" s="80" t="b">
        <v>0</v>
      </c>
    </row>
    <row r="1499" spans="1:7" ht="15">
      <c r="A1499" s="81" t="s">
        <v>2219</v>
      </c>
      <c r="B1499" s="80">
        <v>10</v>
      </c>
      <c r="C1499" s="104">
        <v>0.0027568694274543687</v>
      </c>
      <c r="D1499" s="80" t="s">
        <v>2185</v>
      </c>
      <c r="E1499" s="80" t="b">
        <v>0</v>
      </c>
      <c r="F1499" s="80" t="b">
        <v>0</v>
      </c>
      <c r="G1499" s="80" t="b">
        <v>0</v>
      </c>
    </row>
    <row r="1500" spans="1:7" ht="15">
      <c r="A1500" s="81" t="s">
        <v>2275</v>
      </c>
      <c r="B1500" s="80">
        <v>10</v>
      </c>
      <c r="C1500" s="104">
        <v>0.002063007574783879</v>
      </c>
      <c r="D1500" s="80" t="s">
        <v>2185</v>
      </c>
      <c r="E1500" s="80" t="b">
        <v>0</v>
      </c>
      <c r="F1500" s="80" t="b">
        <v>0</v>
      </c>
      <c r="G1500" s="80" t="b">
        <v>0</v>
      </c>
    </row>
    <row r="1501" spans="1:7" ht="15">
      <c r="A1501" s="81" t="s">
        <v>2333</v>
      </c>
      <c r="B1501" s="80">
        <v>10</v>
      </c>
      <c r="C1501" s="104">
        <v>0.008129393521632734</v>
      </c>
      <c r="D1501" s="80" t="s">
        <v>2185</v>
      </c>
      <c r="E1501" s="80" t="b">
        <v>0</v>
      </c>
      <c r="F1501" s="80" t="b">
        <v>0</v>
      </c>
      <c r="G1501" s="80" t="b">
        <v>0</v>
      </c>
    </row>
    <row r="1502" spans="1:7" ht="15">
      <c r="A1502" s="81" t="s">
        <v>2230</v>
      </c>
      <c r="B1502" s="80">
        <v>9</v>
      </c>
      <c r="C1502" s="104">
        <v>0.0024811824847089316</v>
      </c>
      <c r="D1502" s="80" t="s">
        <v>2185</v>
      </c>
      <c r="E1502" s="80" t="b">
        <v>0</v>
      </c>
      <c r="F1502" s="80" t="b">
        <v>0</v>
      </c>
      <c r="G1502" s="80" t="b">
        <v>0</v>
      </c>
    </row>
    <row r="1503" spans="1:7" ht="15">
      <c r="A1503" s="81" t="s">
        <v>2226</v>
      </c>
      <c r="B1503" s="80">
        <v>9</v>
      </c>
      <c r="C1503" s="104">
        <v>0.0021493785922746143</v>
      </c>
      <c r="D1503" s="80" t="s">
        <v>2185</v>
      </c>
      <c r="E1503" s="80" t="b">
        <v>0</v>
      </c>
      <c r="F1503" s="80" t="b">
        <v>0</v>
      </c>
      <c r="G1503" s="80" t="b">
        <v>0</v>
      </c>
    </row>
    <row r="1504" spans="1:7" ht="15">
      <c r="A1504" s="81" t="s">
        <v>2295</v>
      </c>
      <c r="B1504" s="80">
        <v>9</v>
      </c>
      <c r="C1504" s="104">
        <v>0.003317261519104444</v>
      </c>
      <c r="D1504" s="80" t="s">
        <v>2185</v>
      </c>
      <c r="E1504" s="80" t="b">
        <v>0</v>
      </c>
      <c r="F1504" s="80" t="b">
        <v>0</v>
      </c>
      <c r="G1504" s="80" t="b">
        <v>0</v>
      </c>
    </row>
    <row r="1505" spans="1:7" ht="15">
      <c r="A1505" s="81" t="s">
        <v>2261</v>
      </c>
      <c r="B1505" s="80">
        <v>9</v>
      </c>
      <c r="C1505" s="104">
        <v>0.003317261519104444</v>
      </c>
      <c r="D1505" s="80" t="s">
        <v>2185</v>
      </c>
      <c r="E1505" s="80" t="b">
        <v>1</v>
      </c>
      <c r="F1505" s="80" t="b">
        <v>0</v>
      </c>
      <c r="G1505" s="80" t="b">
        <v>0</v>
      </c>
    </row>
    <row r="1506" spans="1:7" ht="15">
      <c r="A1506" s="81" t="s">
        <v>2243</v>
      </c>
      <c r="B1506" s="80">
        <v>9</v>
      </c>
      <c r="C1506" s="104">
        <v>0.003317261519104444</v>
      </c>
      <c r="D1506" s="80" t="s">
        <v>2185</v>
      </c>
      <c r="E1506" s="80" t="b">
        <v>0</v>
      </c>
      <c r="F1506" s="80" t="b">
        <v>0</v>
      </c>
      <c r="G1506" s="80" t="b">
        <v>0</v>
      </c>
    </row>
    <row r="1507" spans="1:7" ht="15">
      <c r="A1507" s="81" t="s">
        <v>2237</v>
      </c>
      <c r="B1507" s="80">
        <v>8</v>
      </c>
      <c r="C1507" s="104">
        <v>0.0034415441048944264</v>
      </c>
      <c r="D1507" s="80" t="s">
        <v>2185</v>
      </c>
      <c r="E1507" s="80" t="b">
        <v>0</v>
      </c>
      <c r="F1507" s="80" t="b">
        <v>0</v>
      </c>
      <c r="G1507" s="80" t="b">
        <v>0</v>
      </c>
    </row>
    <row r="1508" spans="1:7" ht="15">
      <c r="A1508" s="81" t="s">
        <v>2341</v>
      </c>
      <c r="B1508" s="80">
        <v>8</v>
      </c>
      <c r="C1508" s="104">
        <v>0.0034415441048944264</v>
      </c>
      <c r="D1508" s="80" t="s">
        <v>2185</v>
      </c>
      <c r="E1508" s="80" t="b">
        <v>0</v>
      </c>
      <c r="F1508" s="80" t="b">
        <v>0</v>
      </c>
      <c r="G1508" s="80" t="b">
        <v>0</v>
      </c>
    </row>
    <row r="1509" spans="1:7" ht="15">
      <c r="A1509" s="81" t="s">
        <v>2282</v>
      </c>
      <c r="B1509" s="80">
        <v>8</v>
      </c>
      <c r="C1509" s="104">
        <v>0.0034415441048944264</v>
      </c>
      <c r="D1509" s="80" t="s">
        <v>2185</v>
      </c>
      <c r="E1509" s="80" t="b">
        <v>0</v>
      </c>
      <c r="F1509" s="80" t="b">
        <v>0</v>
      </c>
      <c r="G1509" s="80" t="b">
        <v>0</v>
      </c>
    </row>
    <row r="1510" spans="1:7" ht="15">
      <c r="A1510" s="81" t="s">
        <v>2253</v>
      </c>
      <c r="B1510" s="80">
        <v>8</v>
      </c>
      <c r="C1510" s="104">
        <v>0.002205495541963495</v>
      </c>
      <c r="D1510" s="80" t="s">
        <v>2185</v>
      </c>
      <c r="E1510" s="80" t="b">
        <v>0</v>
      </c>
      <c r="F1510" s="80" t="b">
        <v>0</v>
      </c>
      <c r="G1510" s="80" t="b">
        <v>0</v>
      </c>
    </row>
    <row r="1511" spans="1:7" ht="15">
      <c r="A1511" s="81" t="s">
        <v>2301</v>
      </c>
      <c r="B1511" s="80">
        <v>8</v>
      </c>
      <c r="C1511" s="104">
        <v>0.0034415441048944264</v>
      </c>
      <c r="D1511" s="80" t="s">
        <v>2185</v>
      </c>
      <c r="E1511" s="80" t="b">
        <v>0</v>
      </c>
      <c r="F1511" s="80" t="b">
        <v>0</v>
      </c>
      <c r="G1511" s="80" t="b">
        <v>0</v>
      </c>
    </row>
    <row r="1512" spans="1:7" ht="15">
      <c r="A1512" s="81" t="s">
        <v>2232</v>
      </c>
      <c r="B1512" s="80">
        <v>8</v>
      </c>
      <c r="C1512" s="104">
        <v>0.0034415441048944264</v>
      </c>
      <c r="D1512" s="80" t="s">
        <v>2185</v>
      </c>
      <c r="E1512" s="80" t="b">
        <v>0</v>
      </c>
      <c r="F1512" s="80" t="b">
        <v>0</v>
      </c>
      <c r="G1512" s="80" t="b">
        <v>0</v>
      </c>
    </row>
    <row r="1513" spans="1:7" ht="15">
      <c r="A1513" s="81" t="s">
        <v>2347</v>
      </c>
      <c r="B1513" s="80">
        <v>8</v>
      </c>
      <c r="C1513" s="104">
        <v>0.0034415441048944264</v>
      </c>
      <c r="D1513" s="80" t="s">
        <v>2185</v>
      </c>
      <c r="E1513" s="80" t="b">
        <v>0</v>
      </c>
      <c r="F1513" s="80" t="b">
        <v>0</v>
      </c>
      <c r="G1513" s="80" t="b">
        <v>0</v>
      </c>
    </row>
    <row r="1514" spans="1:7" ht="15">
      <c r="A1514" s="81" t="s">
        <v>2258</v>
      </c>
      <c r="B1514" s="80">
        <v>8</v>
      </c>
      <c r="C1514" s="104">
        <v>0.0034415441048944264</v>
      </c>
      <c r="D1514" s="80" t="s">
        <v>2185</v>
      </c>
      <c r="E1514" s="80" t="b">
        <v>0</v>
      </c>
      <c r="F1514" s="80" t="b">
        <v>0</v>
      </c>
      <c r="G1514" s="80" t="b">
        <v>0</v>
      </c>
    </row>
    <row r="1515" spans="1:7" ht="15">
      <c r="A1515" s="81" t="s">
        <v>2290</v>
      </c>
      <c r="B1515" s="80">
        <v>7</v>
      </c>
      <c r="C1515" s="104">
        <v>0.0022277281970656693</v>
      </c>
      <c r="D1515" s="80" t="s">
        <v>2185</v>
      </c>
      <c r="E1515" s="80" t="b">
        <v>0</v>
      </c>
      <c r="F1515" s="80" t="b">
        <v>0</v>
      </c>
      <c r="G1515" s="80" t="b">
        <v>0</v>
      </c>
    </row>
    <row r="1516" spans="1:7" ht="15">
      <c r="A1516" s="81" t="s">
        <v>2236</v>
      </c>
      <c r="B1516" s="80">
        <v>7</v>
      </c>
      <c r="C1516" s="104">
        <v>0.0022277281970656693</v>
      </c>
      <c r="D1516" s="80" t="s">
        <v>2185</v>
      </c>
      <c r="E1516" s="80" t="b">
        <v>0</v>
      </c>
      <c r="F1516" s="80" t="b">
        <v>0</v>
      </c>
      <c r="G1516" s="80" t="b">
        <v>0</v>
      </c>
    </row>
    <row r="1517" spans="1:7" ht="15">
      <c r="A1517" s="81" t="s">
        <v>2339</v>
      </c>
      <c r="B1517" s="80">
        <v>7</v>
      </c>
      <c r="C1517" s="104">
        <v>0.0030113510917826234</v>
      </c>
      <c r="D1517" s="80" t="s">
        <v>2185</v>
      </c>
      <c r="E1517" s="80" t="b">
        <v>0</v>
      </c>
      <c r="F1517" s="80" t="b">
        <v>0</v>
      </c>
      <c r="G1517" s="80" t="b">
        <v>0</v>
      </c>
    </row>
    <row r="1518" spans="1:7" ht="15">
      <c r="A1518" s="81" t="s">
        <v>2297</v>
      </c>
      <c r="B1518" s="80">
        <v>7</v>
      </c>
      <c r="C1518" s="104">
        <v>0.005690575465142914</v>
      </c>
      <c r="D1518" s="80" t="s">
        <v>2185</v>
      </c>
      <c r="E1518" s="80" t="b">
        <v>0</v>
      </c>
      <c r="F1518" s="80" t="b">
        <v>0</v>
      </c>
      <c r="G1518" s="80" t="b">
        <v>0</v>
      </c>
    </row>
    <row r="1519" spans="1:7" ht="15">
      <c r="A1519" s="81" t="s">
        <v>2249</v>
      </c>
      <c r="B1519" s="80">
        <v>7</v>
      </c>
      <c r="C1519" s="104">
        <v>0.0022277281970656693</v>
      </c>
      <c r="D1519" s="80" t="s">
        <v>2185</v>
      </c>
      <c r="E1519" s="80" t="b">
        <v>0</v>
      </c>
      <c r="F1519" s="80" t="b">
        <v>0</v>
      </c>
      <c r="G1519" s="80" t="b">
        <v>0</v>
      </c>
    </row>
    <row r="1520" spans="1:7" ht="15">
      <c r="A1520" s="81" t="s">
        <v>2318</v>
      </c>
      <c r="B1520" s="80">
        <v>7</v>
      </c>
      <c r="C1520" s="104">
        <v>0.0022277281970656693</v>
      </c>
      <c r="D1520" s="80" t="s">
        <v>2185</v>
      </c>
      <c r="E1520" s="80" t="b">
        <v>0</v>
      </c>
      <c r="F1520" s="80" t="b">
        <v>0</v>
      </c>
      <c r="G1520" s="80" t="b">
        <v>0</v>
      </c>
    </row>
    <row r="1521" spans="1:7" ht="15">
      <c r="A1521" s="81" t="s">
        <v>2330</v>
      </c>
      <c r="B1521" s="80">
        <v>7</v>
      </c>
      <c r="C1521" s="104">
        <v>0.001929808599218058</v>
      </c>
      <c r="D1521" s="80" t="s">
        <v>2185</v>
      </c>
      <c r="E1521" s="80" t="b">
        <v>0</v>
      </c>
      <c r="F1521" s="80" t="b">
        <v>0</v>
      </c>
      <c r="G1521" s="80" t="b">
        <v>0</v>
      </c>
    </row>
    <row r="1522" spans="1:7" ht="15">
      <c r="A1522" s="81" t="s">
        <v>2286</v>
      </c>
      <c r="B1522" s="80">
        <v>6</v>
      </c>
      <c r="C1522" s="104">
        <v>0.002211507679402963</v>
      </c>
      <c r="D1522" s="80" t="s">
        <v>2185</v>
      </c>
      <c r="E1522" s="80" t="b">
        <v>0</v>
      </c>
      <c r="F1522" s="80" t="b">
        <v>0</v>
      </c>
      <c r="G1522" s="80" t="b">
        <v>0</v>
      </c>
    </row>
    <row r="1523" spans="1:7" ht="15">
      <c r="A1523" s="81" t="s">
        <v>2225</v>
      </c>
      <c r="B1523" s="80">
        <v>6</v>
      </c>
      <c r="C1523" s="104">
        <v>0.0019094813117705733</v>
      </c>
      <c r="D1523" s="80" t="s">
        <v>2185</v>
      </c>
      <c r="E1523" s="80" t="b">
        <v>0</v>
      </c>
      <c r="F1523" s="80" t="b">
        <v>0</v>
      </c>
      <c r="G1523" s="80" t="b">
        <v>0</v>
      </c>
    </row>
    <row r="1524" spans="1:7" ht="15">
      <c r="A1524" s="81" t="s">
        <v>2380</v>
      </c>
      <c r="B1524" s="80">
        <v>6</v>
      </c>
      <c r="C1524" s="104">
        <v>0.0030577203289249835</v>
      </c>
      <c r="D1524" s="80" t="s">
        <v>2185</v>
      </c>
      <c r="E1524" s="80" t="b">
        <v>0</v>
      </c>
      <c r="F1524" s="80" t="b">
        <v>0</v>
      </c>
      <c r="G1524" s="80" t="b">
        <v>0</v>
      </c>
    </row>
    <row r="1525" spans="1:7" ht="15">
      <c r="A1525" s="81" t="s">
        <v>2229</v>
      </c>
      <c r="B1525" s="80">
        <v>6</v>
      </c>
      <c r="C1525" s="104">
        <v>0.002211507679402963</v>
      </c>
      <c r="D1525" s="80" t="s">
        <v>2185</v>
      </c>
      <c r="E1525" s="80" t="b">
        <v>0</v>
      </c>
      <c r="F1525" s="80" t="b">
        <v>0</v>
      </c>
      <c r="G1525" s="80" t="b">
        <v>0</v>
      </c>
    </row>
    <row r="1526" spans="1:7" ht="15">
      <c r="A1526" s="81" t="s">
        <v>2287</v>
      </c>
      <c r="B1526" s="80">
        <v>6</v>
      </c>
      <c r="C1526" s="104">
        <v>0.0025811580786708195</v>
      </c>
      <c r="D1526" s="80" t="s">
        <v>2185</v>
      </c>
      <c r="E1526" s="80" t="b">
        <v>0</v>
      </c>
      <c r="F1526" s="80" t="b">
        <v>0</v>
      </c>
      <c r="G1526" s="80" t="b">
        <v>0</v>
      </c>
    </row>
    <row r="1527" spans="1:7" ht="15">
      <c r="A1527" s="81" t="s">
        <v>2309</v>
      </c>
      <c r="B1527" s="80">
        <v>6</v>
      </c>
      <c r="C1527" s="104">
        <v>0.002211507679402963</v>
      </c>
      <c r="D1527" s="80" t="s">
        <v>2185</v>
      </c>
      <c r="E1527" s="80" t="b">
        <v>0</v>
      </c>
      <c r="F1527" s="80" t="b">
        <v>0</v>
      </c>
      <c r="G1527" s="80" t="b">
        <v>0</v>
      </c>
    </row>
    <row r="1528" spans="1:7" ht="15">
      <c r="A1528" s="81" t="s">
        <v>2273</v>
      </c>
      <c r="B1528" s="80">
        <v>6</v>
      </c>
      <c r="C1528" s="104">
        <v>0.0030577203289249835</v>
      </c>
      <c r="D1528" s="80" t="s">
        <v>2185</v>
      </c>
      <c r="E1528" s="80" t="b">
        <v>1</v>
      </c>
      <c r="F1528" s="80" t="b">
        <v>0</v>
      </c>
      <c r="G1528" s="80" t="b">
        <v>0</v>
      </c>
    </row>
    <row r="1529" spans="1:7" ht="15">
      <c r="A1529" s="81" t="s">
        <v>2272</v>
      </c>
      <c r="B1529" s="80">
        <v>6</v>
      </c>
      <c r="C1529" s="104">
        <v>0.0037293970958252294</v>
      </c>
      <c r="D1529" s="80" t="s">
        <v>2185</v>
      </c>
      <c r="E1529" s="80" t="b">
        <v>0</v>
      </c>
      <c r="F1529" s="80" t="b">
        <v>0</v>
      </c>
      <c r="G1529" s="80" t="b">
        <v>0</v>
      </c>
    </row>
    <row r="1530" spans="1:7" ht="15">
      <c r="A1530" s="81" t="s">
        <v>2224</v>
      </c>
      <c r="B1530" s="80">
        <v>6</v>
      </c>
      <c r="C1530" s="104">
        <v>0.0019094813117705733</v>
      </c>
      <c r="D1530" s="80" t="s">
        <v>2185</v>
      </c>
      <c r="E1530" s="80" t="b">
        <v>0</v>
      </c>
      <c r="F1530" s="80" t="b">
        <v>0</v>
      </c>
      <c r="G1530" s="80" t="b">
        <v>0</v>
      </c>
    </row>
    <row r="1531" spans="1:7" ht="15">
      <c r="A1531" s="81" t="s">
        <v>2294</v>
      </c>
      <c r="B1531" s="80">
        <v>6</v>
      </c>
      <c r="C1531" s="104">
        <v>0.0019094813117705733</v>
      </c>
      <c r="D1531" s="80" t="s">
        <v>2185</v>
      </c>
      <c r="E1531" s="80" t="b">
        <v>0</v>
      </c>
      <c r="F1531" s="80" t="b">
        <v>0</v>
      </c>
      <c r="G1531" s="80" t="b">
        <v>0</v>
      </c>
    </row>
    <row r="1532" spans="1:7" ht="15">
      <c r="A1532" s="81" t="s">
        <v>2280</v>
      </c>
      <c r="B1532" s="80">
        <v>6</v>
      </c>
      <c r="C1532" s="104">
        <v>0.0019094813117705733</v>
      </c>
      <c r="D1532" s="80" t="s">
        <v>2185</v>
      </c>
      <c r="E1532" s="80" t="b">
        <v>0</v>
      </c>
      <c r="F1532" s="80" t="b">
        <v>0</v>
      </c>
      <c r="G1532" s="80" t="b">
        <v>0</v>
      </c>
    </row>
    <row r="1533" spans="1:7" ht="15">
      <c r="A1533" s="81" t="s">
        <v>2266</v>
      </c>
      <c r="B1533" s="80">
        <v>6</v>
      </c>
      <c r="C1533" s="104">
        <v>0.0025811580786708195</v>
      </c>
      <c r="D1533" s="80" t="s">
        <v>2185</v>
      </c>
      <c r="E1533" s="80" t="b">
        <v>0</v>
      </c>
      <c r="F1533" s="80" t="b">
        <v>0</v>
      </c>
      <c r="G1533" s="80" t="b">
        <v>0</v>
      </c>
    </row>
    <row r="1534" spans="1:7" ht="15">
      <c r="A1534" s="81" t="s">
        <v>2311</v>
      </c>
      <c r="B1534" s="80">
        <v>5</v>
      </c>
      <c r="C1534" s="104">
        <v>0.001842923066169136</v>
      </c>
      <c r="D1534" s="80" t="s">
        <v>2185</v>
      </c>
      <c r="E1534" s="80" t="b">
        <v>0</v>
      </c>
      <c r="F1534" s="80" t="b">
        <v>0</v>
      </c>
      <c r="G1534" s="80" t="b">
        <v>0</v>
      </c>
    </row>
    <row r="1535" spans="1:7" ht="15">
      <c r="A1535" s="81" t="s">
        <v>2246</v>
      </c>
      <c r="B1535" s="80">
        <v>5</v>
      </c>
      <c r="C1535" s="104">
        <v>0.001842923066169136</v>
      </c>
      <c r="D1535" s="80" t="s">
        <v>2185</v>
      </c>
      <c r="E1535" s="80" t="b">
        <v>0</v>
      </c>
      <c r="F1535" s="80" t="b">
        <v>0</v>
      </c>
      <c r="G1535" s="80" t="b">
        <v>0</v>
      </c>
    </row>
    <row r="1536" spans="1:7" ht="15">
      <c r="A1536" s="81" t="s">
        <v>2308</v>
      </c>
      <c r="B1536" s="80">
        <v>5</v>
      </c>
      <c r="C1536" s="104">
        <v>0.0025481002741041528</v>
      </c>
      <c r="D1536" s="80" t="s">
        <v>2185</v>
      </c>
      <c r="E1536" s="80" t="b">
        <v>0</v>
      </c>
      <c r="F1536" s="80" t="b">
        <v>0</v>
      </c>
      <c r="G1536" s="80" t="b">
        <v>0</v>
      </c>
    </row>
    <row r="1537" spans="1:7" ht="15">
      <c r="A1537" s="81" t="s">
        <v>2257</v>
      </c>
      <c r="B1537" s="80">
        <v>5</v>
      </c>
      <c r="C1537" s="104">
        <v>0.001842923066169136</v>
      </c>
      <c r="D1537" s="80" t="s">
        <v>2185</v>
      </c>
      <c r="E1537" s="80" t="b">
        <v>0</v>
      </c>
      <c r="F1537" s="80" t="b">
        <v>0</v>
      </c>
      <c r="G1537" s="80" t="b">
        <v>0</v>
      </c>
    </row>
    <row r="1538" spans="1:7" ht="15">
      <c r="A1538" s="81" t="s">
        <v>2269</v>
      </c>
      <c r="B1538" s="80">
        <v>5</v>
      </c>
      <c r="C1538" s="104">
        <v>0.0025481002741041528</v>
      </c>
      <c r="D1538" s="80" t="s">
        <v>2185</v>
      </c>
      <c r="E1538" s="80" t="b">
        <v>0</v>
      </c>
      <c r="F1538" s="80" t="b">
        <v>0</v>
      </c>
      <c r="G1538" s="80" t="b">
        <v>0</v>
      </c>
    </row>
    <row r="1539" spans="1:7" ht="15">
      <c r="A1539" s="81" t="s">
        <v>2560</v>
      </c>
      <c r="B1539" s="80">
        <v>5</v>
      </c>
      <c r="C1539" s="104">
        <v>0.0031078309131876915</v>
      </c>
      <c r="D1539" s="80" t="s">
        <v>2185</v>
      </c>
      <c r="E1539" s="80" t="b">
        <v>0</v>
      </c>
      <c r="F1539" s="80" t="b">
        <v>0</v>
      </c>
      <c r="G1539" s="80" t="b">
        <v>0</v>
      </c>
    </row>
    <row r="1540" spans="1:7" ht="15">
      <c r="A1540" s="81" t="s">
        <v>2222</v>
      </c>
      <c r="B1540" s="80">
        <v>5</v>
      </c>
      <c r="C1540" s="104">
        <v>0.001842923066169136</v>
      </c>
      <c r="D1540" s="80" t="s">
        <v>2185</v>
      </c>
      <c r="E1540" s="80" t="b">
        <v>0</v>
      </c>
      <c r="F1540" s="80" t="b">
        <v>0</v>
      </c>
      <c r="G1540" s="80" t="b">
        <v>0</v>
      </c>
    </row>
    <row r="1541" spans="1:7" ht="15">
      <c r="A1541" s="81" t="s">
        <v>2296</v>
      </c>
      <c r="B1541" s="80">
        <v>5</v>
      </c>
      <c r="C1541" s="104">
        <v>0.001842923066169136</v>
      </c>
      <c r="D1541" s="80" t="s">
        <v>2185</v>
      </c>
      <c r="E1541" s="80" t="b">
        <v>0</v>
      </c>
      <c r="F1541" s="80" t="b">
        <v>0</v>
      </c>
      <c r="G1541" s="80" t="b">
        <v>0</v>
      </c>
    </row>
    <row r="1542" spans="1:7" ht="15">
      <c r="A1542" s="81" t="s">
        <v>2365</v>
      </c>
      <c r="B1542" s="80">
        <v>5</v>
      </c>
      <c r="C1542" s="104">
        <v>0.0025481002741041528</v>
      </c>
      <c r="D1542" s="80" t="s">
        <v>2185</v>
      </c>
      <c r="E1542" s="80" t="b">
        <v>0</v>
      </c>
      <c r="F1542" s="80" t="b">
        <v>0</v>
      </c>
      <c r="G1542" s="80" t="b">
        <v>0</v>
      </c>
    </row>
    <row r="1543" spans="1:7" ht="15">
      <c r="A1543" s="81" t="s">
        <v>2453</v>
      </c>
      <c r="B1543" s="80">
        <v>5</v>
      </c>
      <c r="C1543" s="104">
        <v>0.001842923066169136</v>
      </c>
      <c r="D1543" s="80" t="s">
        <v>2185</v>
      </c>
      <c r="E1543" s="80" t="b">
        <v>0</v>
      </c>
      <c r="F1543" s="80" t="b">
        <v>0</v>
      </c>
      <c r="G1543" s="80" t="b">
        <v>0</v>
      </c>
    </row>
    <row r="1544" spans="1:7" ht="15">
      <c r="A1544" s="81" t="s">
        <v>2271</v>
      </c>
      <c r="B1544" s="80">
        <v>5</v>
      </c>
      <c r="C1544" s="104">
        <v>0.0021509650655590165</v>
      </c>
      <c r="D1544" s="80" t="s">
        <v>2185</v>
      </c>
      <c r="E1544" s="80" t="b">
        <v>0</v>
      </c>
      <c r="F1544" s="80" t="b">
        <v>0</v>
      </c>
      <c r="G1544" s="80" t="b">
        <v>0</v>
      </c>
    </row>
    <row r="1545" spans="1:7" ht="15">
      <c r="A1545" s="81" t="s">
        <v>2303</v>
      </c>
      <c r="B1545" s="80">
        <v>5</v>
      </c>
      <c r="C1545" s="104">
        <v>0.001842923066169136</v>
      </c>
      <c r="D1545" s="80" t="s">
        <v>2185</v>
      </c>
      <c r="E1545" s="80" t="b">
        <v>0</v>
      </c>
      <c r="F1545" s="80" t="b">
        <v>0</v>
      </c>
      <c r="G1545" s="80" t="b">
        <v>0</v>
      </c>
    </row>
    <row r="1546" spans="1:7" ht="15">
      <c r="A1546" s="81" t="s">
        <v>2488</v>
      </c>
      <c r="B1546" s="80">
        <v>5</v>
      </c>
      <c r="C1546" s="104">
        <v>0.001842923066169136</v>
      </c>
      <c r="D1546" s="80" t="s">
        <v>2185</v>
      </c>
      <c r="E1546" s="80" t="b">
        <v>0</v>
      </c>
      <c r="F1546" s="80" t="b">
        <v>0</v>
      </c>
      <c r="G1546" s="80" t="b">
        <v>0</v>
      </c>
    </row>
    <row r="1547" spans="1:7" ht="15">
      <c r="A1547" s="81" t="s">
        <v>2244</v>
      </c>
      <c r="B1547" s="80">
        <v>5</v>
      </c>
      <c r="C1547" s="104">
        <v>0.001842923066169136</v>
      </c>
      <c r="D1547" s="80" t="s">
        <v>2185</v>
      </c>
      <c r="E1547" s="80" t="b">
        <v>0</v>
      </c>
      <c r="F1547" s="80" t="b">
        <v>0</v>
      </c>
      <c r="G1547" s="80" t="b">
        <v>0</v>
      </c>
    </row>
    <row r="1548" spans="1:7" ht="15">
      <c r="A1548" s="81" t="s">
        <v>2220</v>
      </c>
      <c r="B1548" s="80">
        <v>5</v>
      </c>
      <c r="C1548" s="104">
        <v>0.0025481002741041528</v>
      </c>
      <c r="D1548" s="80" t="s">
        <v>2185</v>
      </c>
      <c r="E1548" s="80" t="b">
        <v>0</v>
      </c>
      <c r="F1548" s="80" t="b">
        <v>0</v>
      </c>
      <c r="G1548" s="80" t="b">
        <v>0</v>
      </c>
    </row>
    <row r="1549" spans="1:7" ht="15">
      <c r="A1549" s="81" t="s">
        <v>2529</v>
      </c>
      <c r="B1549" s="80">
        <v>4</v>
      </c>
      <c r="C1549" s="104">
        <v>0.0017207720524472132</v>
      </c>
      <c r="D1549" s="80" t="s">
        <v>2185</v>
      </c>
      <c r="E1549" s="80" t="b">
        <v>0</v>
      </c>
      <c r="F1549" s="80" t="b">
        <v>0</v>
      </c>
      <c r="G1549" s="80" t="b">
        <v>0</v>
      </c>
    </row>
    <row r="1550" spans="1:7" ht="15">
      <c r="A1550" s="81" t="s">
        <v>2291</v>
      </c>
      <c r="B1550" s="80">
        <v>4</v>
      </c>
      <c r="C1550" s="104">
        <v>0.0017207720524472132</v>
      </c>
      <c r="D1550" s="80" t="s">
        <v>2185</v>
      </c>
      <c r="E1550" s="80" t="b">
        <v>0</v>
      </c>
      <c r="F1550" s="80" t="b">
        <v>0</v>
      </c>
      <c r="G1550" s="80" t="b">
        <v>0</v>
      </c>
    </row>
    <row r="1551" spans="1:7" ht="15">
      <c r="A1551" s="81" t="s">
        <v>2376</v>
      </c>
      <c r="B1551" s="80">
        <v>4</v>
      </c>
      <c r="C1551" s="104">
        <v>0.0017207720524472132</v>
      </c>
      <c r="D1551" s="80" t="s">
        <v>2185</v>
      </c>
      <c r="E1551" s="80" t="b">
        <v>0</v>
      </c>
      <c r="F1551" s="80" t="b">
        <v>0</v>
      </c>
      <c r="G1551" s="80" t="b">
        <v>0</v>
      </c>
    </row>
    <row r="1552" spans="1:7" ht="15">
      <c r="A1552" s="81" t="s">
        <v>2532</v>
      </c>
      <c r="B1552" s="80">
        <v>4</v>
      </c>
      <c r="C1552" s="104">
        <v>0.0017207720524472132</v>
      </c>
      <c r="D1552" s="80" t="s">
        <v>2185</v>
      </c>
      <c r="E1552" s="80" t="b">
        <v>0</v>
      </c>
      <c r="F1552" s="80" t="b">
        <v>0</v>
      </c>
      <c r="G1552" s="80" t="b">
        <v>0</v>
      </c>
    </row>
    <row r="1553" spans="1:7" ht="15">
      <c r="A1553" s="81" t="s">
        <v>2279</v>
      </c>
      <c r="B1553" s="80">
        <v>4</v>
      </c>
      <c r="C1553" s="104">
        <v>0.0020384802192833225</v>
      </c>
      <c r="D1553" s="80" t="s">
        <v>2185</v>
      </c>
      <c r="E1553" s="80" t="b">
        <v>0</v>
      </c>
      <c r="F1553" s="80" t="b">
        <v>0</v>
      </c>
      <c r="G1553" s="80" t="b">
        <v>0</v>
      </c>
    </row>
    <row r="1554" spans="1:7" ht="15">
      <c r="A1554" s="81" t="s">
        <v>2435</v>
      </c>
      <c r="B1554" s="80">
        <v>4</v>
      </c>
      <c r="C1554" s="104">
        <v>0.0017207720524472132</v>
      </c>
      <c r="D1554" s="80" t="s">
        <v>2185</v>
      </c>
      <c r="E1554" s="80" t="b">
        <v>1</v>
      </c>
      <c r="F1554" s="80" t="b">
        <v>0</v>
      </c>
      <c r="G1554" s="80" t="b">
        <v>0</v>
      </c>
    </row>
    <row r="1555" spans="1:7" ht="15">
      <c r="A1555" s="81" t="s">
        <v>2234</v>
      </c>
      <c r="B1555" s="80">
        <v>4</v>
      </c>
      <c r="C1555" s="104">
        <v>0.0017207720524472132</v>
      </c>
      <c r="D1555" s="80" t="s">
        <v>2185</v>
      </c>
      <c r="E1555" s="80" t="b">
        <v>0</v>
      </c>
      <c r="F1555" s="80" t="b">
        <v>0</v>
      </c>
      <c r="G1555" s="80" t="b">
        <v>0</v>
      </c>
    </row>
    <row r="1556" spans="1:7" ht="15">
      <c r="A1556" s="81" t="s">
        <v>2304</v>
      </c>
      <c r="B1556" s="80">
        <v>4</v>
      </c>
      <c r="C1556" s="104">
        <v>0.0017207720524472132</v>
      </c>
      <c r="D1556" s="80" t="s">
        <v>2185</v>
      </c>
      <c r="E1556" s="80" t="b">
        <v>0</v>
      </c>
      <c r="F1556" s="80" t="b">
        <v>0</v>
      </c>
      <c r="G1556" s="80" t="b">
        <v>0</v>
      </c>
    </row>
    <row r="1557" spans="1:7" ht="15">
      <c r="A1557" s="81" t="s">
        <v>2557</v>
      </c>
      <c r="B1557" s="80">
        <v>4</v>
      </c>
      <c r="C1557" s="104">
        <v>0.0017207720524472132</v>
      </c>
      <c r="D1557" s="80" t="s">
        <v>2185</v>
      </c>
      <c r="E1557" s="80" t="b">
        <v>0</v>
      </c>
      <c r="F1557" s="80" t="b">
        <v>0</v>
      </c>
      <c r="G1557" s="80" t="b">
        <v>0</v>
      </c>
    </row>
    <row r="1558" spans="1:7" ht="15">
      <c r="A1558" s="81" t="s">
        <v>2553</v>
      </c>
      <c r="B1558" s="80">
        <v>4</v>
      </c>
      <c r="C1558" s="104">
        <v>0.0017207720524472132</v>
      </c>
      <c r="D1558" s="80" t="s">
        <v>2185</v>
      </c>
      <c r="E1558" s="80" t="b">
        <v>0</v>
      </c>
      <c r="F1558" s="80" t="b">
        <v>0</v>
      </c>
      <c r="G1558" s="80" t="b">
        <v>0</v>
      </c>
    </row>
    <row r="1559" spans="1:7" ht="15">
      <c r="A1559" s="81" t="s">
        <v>2483</v>
      </c>
      <c r="B1559" s="80">
        <v>4</v>
      </c>
      <c r="C1559" s="104">
        <v>0.0017207720524472132</v>
      </c>
      <c r="D1559" s="80" t="s">
        <v>2185</v>
      </c>
      <c r="E1559" s="80" t="b">
        <v>0</v>
      </c>
      <c r="F1559" s="80" t="b">
        <v>0</v>
      </c>
      <c r="G1559" s="80" t="b">
        <v>0</v>
      </c>
    </row>
    <row r="1560" spans="1:7" ht="15">
      <c r="A1560" s="81" t="s">
        <v>2502</v>
      </c>
      <c r="B1560" s="80">
        <v>4</v>
      </c>
      <c r="C1560" s="104">
        <v>0.0017207720524472132</v>
      </c>
      <c r="D1560" s="80" t="s">
        <v>2185</v>
      </c>
      <c r="E1560" s="80" t="b">
        <v>0</v>
      </c>
      <c r="F1560" s="80" t="b">
        <v>0</v>
      </c>
      <c r="G1560" s="80" t="b">
        <v>0</v>
      </c>
    </row>
    <row r="1561" spans="1:7" ht="15">
      <c r="A1561" s="81" t="s">
        <v>2537</v>
      </c>
      <c r="B1561" s="80">
        <v>4</v>
      </c>
      <c r="C1561" s="104">
        <v>0.0017207720524472132</v>
      </c>
      <c r="D1561" s="80" t="s">
        <v>2185</v>
      </c>
      <c r="E1561" s="80" t="b">
        <v>0</v>
      </c>
      <c r="F1561" s="80" t="b">
        <v>0</v>
      </c>
      <c r="G1561" s="80" t="b">
        <v>0</v>
      </c>
    </row>
    <row r="1562" spans="1:7" ht="15">
      <c r="A1562" s="81" t="s">
        <v>2324</v>
      </c>
      <c r="B1562" s="80">
        <v>4</v>
      </c>
      <c r="C1562" s="104">
        <v>0.002486264730550153</v>
      </c>
      <c r="D1562" s="80" t="s">
        <v>2185</v>
      </c>
      <c r="E1562" s="80" t="b">
        <v>0</v>
      </c>
      <c r="F1562" s="80" t="b">
        <v>0</v>
      </c>
      <c r="G1562" s="80" t="b">
        <v>0</v>
      </c>
    </row>
    <row r="1563" spans="1:7" ht="15">
      <c r="A1563" s="81" t="s">
        <v>2231</v>
      </c>
      <c r="B1563" s="80">
        <v>4</v>
      </c>
      <c r="C1563" s="104">
        <v>0.002486264730550153</v>
      </c>
      <c r="D1563" s="80" t="s">
        <v>2185</v>
      </c>
      <c r="E1563" s="80" t="b">
        <v>0</v>
      </c>
      <c r="F1563" s="80" t="b">
        <v>0</v>
      </c>
      <c r="G1563" s="80" t="b">
        <v>0</v>
      </c>
    </row>
    <row r="1564" spans="1:7" ht="15">
      <c r="A1564" s="81" t="s">
        <v>2270</v>
      </c>
      <c r="B1564" s="80">
        <v>4</v>
      </c>
      <c r="C1564" s="104">
        <v>0.0017207720524472132</v>
      </c>
      <c r="D1564" s="80" t="s">
        <v>2185</v>
      </c>
      <c r="E1564" s="80" t="b">
        <v>0</v>
      </c>
      <c r="F1564" s="80" t="b">
        <v>0</v>
      </c>
      <c r="G1564" s="80" t="b">
        <v>0</v>
      </c>
    </row>
    <row r="1565" spans="1:7" ht="15">
      <c r="A1565" s="81" t="s">
        <v>2325</v>
      </c>
      <c r="B1565" s="80">
        <v>4</v>
      </c>
      <c r="C1565" s="104">
        <v>0.0020384802192833225</v>
      </c>
      <c r="D1565" s="80" t="s">
        <v>2185</v>
      </c>
      <c r="E1565" s="80" t="b">
        <v>0</v>
      </c>
      <c r="F1565" s="80" t="b">
        <v>0</v>
      </c>
      <c r="G1565" s="80" t="b">
        <v>0</v>
      </c>
    </row>
    <row r="1566" spans="1:7" ht="15">
      <c r="A1566" s="81" t="s">
        <v>2475</v>
      </c>
      <c r="B1566" s="80">
        <v>4</v>
      </c>
      <c r="C1566" s="104">
        <v>0.002486264730550153</v>
      </c>
      <c r="D1566" s="80" t="s">
        <v>2185</v>
      </c>
      <c r="E1566" s="80" t="b">
        <v>0</v>
      </c>
      <c r="F1566" s="80" t="b">
        <v>0</v>
      </c>
      <c r="G1566" s="80" t="b">
        <v>0</v>
      </c>
    </row>
    <row r="1567" spans="1:7" ht="15">
      <c r="A1567" s="81" t="s">
        <v>2554</v>
      </c>
      <c r="B1567" s="80">
        <v>4</v>
      </c>
      <c r="C1567" s="104">
        <v>0.0017207720524472132</v>
      </c>
      <c r="D1567" s="80" t="s">
        <v>2185</v>
      </c>
      <c r="E1567" s="80" t="b">
        <v>1</v>
      </c>
      <c r="F1567" s="80" t="b">
        <v>0</v>
      </c>
      <c r="G1567" s="80" t="b">
        <v>0</v>
      </c>
    </row>
    <row r="1568" spans="1:7" ht="15">
      <c r="A1568" s="81" t="s">
        <v>2534</v>
      </c>
      <c r="B1568" s="80">
        <v>4</v>
      </c>
      <c r="C1568" s="104">
        <v>0.0017207720524472132</v>
      </c>
      <c r="D1568" s="80" t="s">
        <v>2185</v>
      </c>
      <c r="E1568" s="80" t="b">
        <v>0</v>
      </c>
      <c r="F1568" s="80" t="b">
        <v>0</v>
      </c>
      <c r="G1568" s="80" t="b">
        <v>0</v>
      </c>
    </row>
    <row r="1569" spans="1:7" ht="15">
      <c r="A1569" s="81" t="s">
        <v>2384</v>
      </c>
      <c r="B1569" s="80">
        <v>4</v>
      </c>
      <c r="C1569" s="104">
        <v>0.0017207720524472132</v>
      </c>
      <c r="D1569" s="80" t="s">
        <v>2185</v>
      </c>
      <c r="E1569" s="80" t="b">
        <v>0</v>
      </c>
      <c r="F1569" s="80" t="b">
        <v>0</v>
      </c>
      <c r="G1569" s="80" t="b">
        <v>0</v>
      </c>
    </row>
    <row r="1570" spans="1:7" ht="15">
      <c r="A1570" s="81" t="s">
        <v>2517</v>
      </c>
      <c r="B1570" s="80">
        <v>4</v>
      </c>
      <c r="C1570" s="104">
        <v>0.0017207720524472132</v>
      </c>
      <c r="D1570" s="80" t="s">
        <v>2185</v>
      </c>
      <c r="E1570" s="80" t="b">
        <v>0</v>
      </c>
      <c r="F1570" s="80" t="b">
        <v>0</v>
      </c>
      <c r="G1570" s="80" t="b">
        <v>0</v>
      </c>
    </row>
    <row r="1571" spans="1:7" ht="15">
      <c r="A1571" s="81" t="s">
        <v>2531</v>
      </c>
      <c r="B1571" s="80">
        <v>4</v>
      </c>
      <c r="C1571" s="104">
        <v>0.0017207720524472132</v>
      </c>
      <c r="D1571" s="80" t="s">
        <v>2185</v>
      </c>
      <c r="E1571" s="80" t="b">
        <v>0</v>
      </c>
      <c r="F1571" s="80" t="b">
        <v>0</v>
      </c>
      <c r="G1571" s="80" t="b">
        <v>0</v>
      </c>
    </row>
    <row r="1572" spans="1:7" ht="15">
      <c r="A1572" s="81" t="s">
        <v>2494</v>
      </c>
      <c r="B1572" s="80">
        <v>4</v>
      </c>
      <c r="C1572" s="104">
        <v>0.0017207720524472132</v>
      </c>
      <c r="D1572" s="80" t="s">
        <v>2185</v>
      </c>
      <c r="E1572" s="80" t="b">
        <v>0</v>
      </c>
      <c r="F1572" s="80" t="b">
        <v>0</v>
      </c>
      <c r="G1572" s="80" t="b">
        <v>0</v>
      </c>
    </row>
    <row r="1573" spans="1:7" ht="15">
      <c r="A1573" s="81" t="s">
        <v>2343</v>
      </c>
      <c r="B1573" s="80">
        <v>4</v>
      </c>
      <c r="C1573" s="104">
        <v>0.0017207720524472132</v>
      </c>
      <c r="D1573" s="80" t="s">
        <v>2185</v>
      </c>
      <c r="E1573" s="80" t="b">
        <v>0</v>
      </c>
      <c r="F1573" s="80" t="b">
        <v>0</v>
      </c>
      <c r="G1573" s="80" t="b">
        <v>0</v>
      </c>
    </row>
    <row r="1574" spans="1:7" ht="15">
      <c r="A1574" s="81" t="s">
        <v>2407</v>
      </c>
      <c r="B1574" s="80">
        <v>4</v>
      </c>
      <c r="C1574" s="104">
        <v>0.0017207720524472132</v>
      </c>
      <c r="D1574" s="80" t="s">
        <v>2185</v>
      </c>
      <c r="E1574" s="80" t="b">
        <v>0</v>
      </c>
      <c r="F1574" s="80" t="b">
        <v>0</v>
      </c>
      <c r="G1574" s="80" t="b">
        <v>0</v>
      </c>
    </row>
    <row r="1575" spans="1:7" ht="15">
      <c r="A1575" s="81" t="s">
        <v>2569</v>
      </c>
      <c r="B1575" s="80">
        <v>4</v>
      </c>
      <c r="C1575" s="104">
        <v>0.0017207720524472132</v>
      </c>
      <c r="D1575" s="80" t="s">
        <v>2185</v>
      </c>
      <c r="E1575" s="80" t="b">
        <v>0</v>
      </c>
      <c r="F1575" s="80" t="b">
        <v>0</v>
      </c>
      <c r="G1575" s="80" t="b">
        <v>0</v>
      </c>
    </row>
    <row r="1576" spans="1:7" ht="15">
      <c r="A1576" s="81" t="s">
        <v>2522</v>
      </c>
      <c r="B1576" s="80">
        <v>4</v>
      </c>
      <c r="C1576" s="104">
        <v>0.0017207720524472132</v>
      </c>
      <c r="D1576" s="80" t="s">
        <v>2185</v>
      </c>
      <c r="E1576" s="80" t="b">
        <v>0</v>
      </c>
      <c r="F1576" s="80" t="b">
        <v>0</v>
      </c>
      <c r="G1576" s="80" t="b">
        <v>0</v>
      </c>
    </row>
    <row r="1577" spans="1:7" ht="15">
      <c r="A1577" s="81" t="s">
        <v>2533</v>
      </c>
      <c r="B1577" s="80">
        <v>4</v>
      </c>
      <c r="C1577" s="104">
        <v>0.0017207720524472132</v>
      </c>
      <c r="D1577" s="80" t="s">
        <v>2185</v>
      </c>
      <c r="E1577" s="80" t="b">
        <v>0</v>
      </c>
      <c r="F1577" s="80" t="b">
        <v>0</v>
      </c>
      <c r="G1577" s="80" t="b">
        <v>0</v>
      </c>
    </row>
    <row r="1578" spans="1:7" ht="15">
      <c r="A1578" s="81" t="s">
        <v>2355</v>
      </c>
      <c r="B1578" s="80">
        <v>4</v>
      </c>
      <c r="C1578" s="104">
        <v>0.0017207720524472132</v>
      </c>
      <c r="D1578" s="80" t="s">
        <v>2185</v>
      </c>
      <c r="E1578" s="80" t="b">
        <v>0</v>
      </c>
      <c r="F1578" s="80" t="b">
        <v>0</v>
      </c>
      <c r="G1578" s="80" t="b">
        <v>0</v>
      </c>
    </row>
    <row r="1579" spans="1:7" ht="15">
      <c r="A1579" s="81" t="s">
        <v>2558</v>
      </c>
      <c r="B1579" s="80">
        <v>4</v>
      </c>
      <c r="C1579" s="104">
        <v>0.0017207720524472132</v>
      </c>
      <c r="D1579" s="80" t="s">
        <v>2185</v>
      </c>
      <c r="E1579" s="80" t="b">
        <v>0</v>
      </c>
      <c r="F1579" s="80" t="b">
        <v>0</v>
      </c>
      <c r="G1579" s="80" t="b">
        <v>0</v>
      </c>
    </row>
    <row r="1580" spans="1:7" ht="15">
      <c r="A1580" s="81" t="s">
        <v>2305</v>
      </c>
      <c r="B1580" s="80">
        <v>4</v>
      </c>
      <c r="C1580" s="104">
        <v>0.0017207720524472132</v>
      </c>
      <c r="D1580" s="80" t="s">
        <v>2185</v>
      </c>
      <c r="E1580" s="80" t="b">
        <v>0</v>
      </c>
      <c r="F1580" s="80" t="b">
        <v>0</v>
      </c>
      <c r="G1580" s="80" t="b">
        <v>0</v>
      </c>
    </row>
    <row r="1581" spans="1:7" ht="15">
      <c r="A1581" s="81" t="s">
        <v>2254</v>
      </c>
      <c r="B1581" s="80">
        <v>4</v>
      </c>
      <c r="C1581" s="104">
        <v>0.0017207720524472132</v>
      </c>
      <c r="D1581" s="80" t="s">
        <v>2185</v>
      </c>
      <c r="E1581" s="80" t="b">
        <v>0</v>
      </c>
      <c r="F1581" s="80" t="b">
        <v>0</v>
      </c>
      <c r="G1581" s="80" t="b">
        <v>0</v>
      </c>
    </row>
    <row r="1582" spans="1:7" ht="15">
      <c r="A1582" s="81" t="s">
        <v>2655</v>
      </c>
      <c r="B1582" s="80">
        <v>4</v>
      </c>
      <c r="C1582" s="104">
        <v>0.002486264730550153</v>
      </c>
      <c r="D1582" s="80" t="s">
        <v>2185</v>
      </c>
      <c r="E1582" s="80" t="b">
        <v>0</v>
      </c>
      <c r="F1582" s="80" t="b">
        <v>0</v>
      </c>
      <c r="G1582" s="80" t="b">
        <v>0</v>
      </c>
    </row>
    <row r="1583" spans="1:7" ht="15">
      <c r="A1583" s="81" t="s">
        <v>2283</v>
      </c>
      <c r="B1583" s="80">
        <v>4</v>
      </c>
      <c r="C1583" s="104">
        <v>0.0017207720524472132</v>
      </c>
      <c r="D1583" s="80" t="s">
        <v>2185</v>
      </c>
      <c r="E1583" s="80" t="b">
        <v>0</v>
      </c>
      <c r="F1583" s="80" t="b">
        <v>0</v>
      </c>
      <c r="G1583" s="80" t="b">
        <v>0</v>
      </c>
    </row>
    <row r="1584" spans="1:7" ht="15">
      <c r="A1584" s="81" t="s">
        <v>2555</v>
      </c>
      <c r="B1584" s="80">
        <v>4</v>
      </c>
      <c r="C1584" s="104">
        <v>0.0017207720524472132</v>
      </c>
      <c r="D1584" s="80" t="s">
        <v>2185</v>
      </c>
      <c r="E1584" s="80" t="b">
        <v>0</v>
      </c>
      <c r="F1584" s="80" t="b">
        <v>0</v>
      </c>
      <c r="G1584" s="80" t="b">
        <v>0</v>
      </c>
    </row>
    <row r="1585" spans="1:7" ht="15">
      <c r="A1585" s="81" t="s">
        <v>2281</v>
      </c>
      <c r="B1585" s="80">
        <v>4</v>
      </c>
      <c r="C1585" s="104">
        <v>0.0017207720524472132</v>
      </c>
      <c r="D1585" s="80" t="s">
        <v>2185</v>
      </c>
      <c r="E1585" s="80" t="b">
        <v>0</v>
      </c>
      <c r="F1585" s="80" t="b">
        <v>0</v>
      </c>
      <c r="G1585" s="80" t="b">
        <v>0</v>
      </c>
    </row>
    <row r="1586" spans="1:7" ht="15">
      <c r="A1586" s="81" t="s">
        <v>2527</v>
      </c>
      <c r="B1586" s="80">
        <v>4</v>
      </c>
      <c r="C1586" s="104">
        <v>0.0017207720524472132</v>
      </c>
      <c r="D1586" s="80" t="s">
        <v>2185</v>
      </c>
      <c r="E1586" s="80" t="b">
        <v>0</v>
      </c>
      <c r="F1586" s="80" t="b">
        <v>0</v>
      </c>
      <c r="G1586" s="80" t="b">
        <v>0</v>
      </c>
    </row>
    <row r="1587" spans="1:7" ht="15">
      <c r="A1587" s="81" t="s">
        <v>2526</v>
      </c>
      <c r="B1587" s="80">
        <v>4</v>
      </c>
      <c r="C1587" s="104">
        <v>0.0017207720524472132</v>
      </c>
      <c r="D1587" s="80" t="s">
        <v>2185</v>
      </c>
      <c r="E1587" s="80" t="b">
        <v>0</v>
      </c>
      <c r="F1587" s="80" t="b">
        <v>0</v>
      </c>
      <c r="G1587" s="80" t="b">
        <v>0</v>
      </c>
    </row>
    <row r="1588" spans="1:7" ht="15">
      <c r="A1588" s="81" t="s">
        <v>2550</v>
      </c>
      <c r="B1588" s="80">
        <v>4</v>
      </c>
      <c r="C1588" s="104">
        <v>0.0017207720524472132</v>
      </c>
      <c r="D1588" s="80" t="s">
        <v>2185</v>
      </c>
      <c r="E1588" s="80" t="b">
        <v>0</v>
      </c>
      <c r="F1588" s="80" t="b">
        <v>0</v>
      </c>
      <c r="G1588" s="80" t="b">
        <v>0</v>
      </c>
    </row>
    <row r="1589" spans="1:7" ht="15">
      <c r="A1589" s="81" t="s">
        <v>2564</v>
      </c>
      <c r="B1589" s="80">
        <v>4</v>
      </c>
      <c r="C1589" s="104">
        <v>0.0017207720524472132</v>
      </c>
      <c r="D1589" s="80" t="s">
        <v>2185</v>
      </c>
      <c r="E1589" s="80" t="b">
        <v>1</v>
      </c>
      <c r="F1589" s="80" t="b">
        <v>0</v>
      </c>
      <c r="G1589" s="80" t="b">
        <v>0</v>
      </c>
    </row>
    <row r="1590" spans="1:7" ht="15">
      <c r="A1590" s="81" t="s">
        <v>2499</v>
      </c>
      <c r="B1590" s="80">
        <v>4</v>
      </c>
      <c r="C1590" s="104">
        <v>0.0017207720524472132</v>
      </c>
      <c r="D1590" s="80" t="s">
        <v>2185</v>
      </c>
      <c r="E1590" s="80" t="b">
        <v>0</v>
      </c>
      <c r="F1590" s="80" t="b">
        <v>0</v>
      </c>
      <c r="G1590" s="80" t="b">
        <v>0</v>
      </c>
    </row>
    <row r="1591" spans="1:7" ht="15">
      <c r="A1591" s="81" t="s">
        <v>2540</v>
      </c>
      <c r="B1591" s="80">
        <v>4</v>
      </c>
      <c r="C1591" s="104">
        <v>0.0017207720524472132</v>
      </c>
      <c r="D1591" s="80" t="s">
        <v>2185</v>
      </c>
      <c r="E1591" s="80" t="b">
        <v>0</v>
      </c>
      <c r="F1591" s="80" t="b">
        <v>0</v>
      </c>
      <c r="G1591" s="80" t="b">
        <v>0</v>
      </c>
    </row>
    <row r="1592" spans="1:7" ht="15">
      <c r="A1592" s="81" t="s">
        <v>2247</v>
      </c>
      <c r="B1592" s="80">
        <v>4</v>
      </c>
      <c r="C1592" s="104">
        <v>0.0020384802192833225</v>
      </c>
      <c r="D1592" s="80" t="s">
        <v>2185</v>
      </c>
      <c r="E1592" s="80" t="b">
        <v>0</v>
      </c>
      <c r="F1592" s="80" t="b">
        <v>0</v>
      </c>
      <c r="G1592" s="80" t="b">
        <v>0</v>
      </c>
    </row>
    <row r="1593" spans="1:7" ht="15">
      <c r="A1593" s="81" t="s">
        <v>2497</v>
      </c>
      <c r="B1593" s="80">
        <v>4</v>
      </c>
      <c r="C1593" s="104">
        <v>0.0017207720524472132</v>
      </c>
      <c r="D1593" s="80" t="s">
        <v>2185</v>
      </c>
      <c r="E1593" s="80" t="b">
        <v>0</v>
      </c>
      <c r="F1593" s="80" t="b">
        <v>0</v>
      </c>
      <c r="G1593" s="80" t="b">
        <v>0</v>
      </c>
    </row>
    <row r="1594" spans="1:7" ht="15">
      <c r="A1594" s="81" t="s">
        <v>2274</v>
      </c>
      <c r="B1594" s="80">
        <v>4</v>
      </c>
      <c r="C1594" s="104">
        <v>0.0017207720524472132</v>
      </c>
      <c r="D1594" s="80" t="s">
        <v>2185</v>
      </c>
      <c r="E1594" s="80" t="b">
        <v>0</v>
      </c>
      <c r="F1594" s="80" t="b">
        <v>0</v>
      </c>
      <c r="G1594" s="80" t="b">
        <v>0</v>
      </c>
    </row>
    <row r="1595" spans="1:7" ht="15">
      <c r="A1595" s="81" t="s">
        <v>2518</v>
      </c>
      <c r="B1595" s="80">
        <v>4</v>
      </c>
      <c r="C1595" s="104">
        <v>0.0017207720524472132</v>
      </c>
      <c r="D1595" s="80" t="s">
        <v>2185</v>
      </c>
      <c r="E1595" s="80" t="b">
        <v>0</v>
      </c>
      <c r="F1595" s="80" t="b">
        <v>0</v>
      </c>
      <c r="G1595" s="80" t="b">
        <v>0</v>
      </c>
    </row>
    <row r="1596" spans="1:7" ht="15">
      <c r="A1596" s="81" t="s">
        <v>2361</v>
      </c>
      <c r="B1596" s="80">
        <v>4</v>
      </c>
      <c r="C1596" s="104">
        <v>0.0017207720524472132</v>
      </c>
      <c r="D1596" s="80" t="s">
        <v>2185</v>
      </c>
      <c r="E1596" s="80" t="b">
        <v>0</v>
      </c>
      <c r="F1596" s="80" t="b">
        <v>0</v>
      </c>
      <c r="G1596" s="80" t="b">
        <v>0</v>
      </c>
    </row>
    <row r="1597" spans="1:7" ht="15">
      <c r="A1597" s="81" t="s">
        <v>2334</v>
      </c>
      <c r="B1597" s="80">
        <v>4</v>
      </c>
      <c r="C1597" s="104">
        <v>0.0020384802192833225</v>
      </c>
      <c r="D1597" s="80" t="s">
        <v>2185</v>
      </c>
      <c r="E1597" s="80" t="b">
        <v>0</v>
      </c>
      <c r="F1597" s="80" t="b">
        <v>0</v>
      </c>
      <c r="G1597" s="80" t="b">
        <v>0</v>
      </c>
    </row>
    <row r="1598" spans="1:7" ht="15">
      <c r="A1598" s="81" t="s">
        <v>2369</v>
      </c>
      <c r="B1598" s="80">
        <v>4</v>
      </c>
      <c r="C1598" s="104">
        <v>0.0020384802192833225</v>
      </c>
      <c r="D1598" s="80" t="s">
        <v>2185</v>
      </c>
      <c r="E1598" s="80" t="b">
        <v>0</v>
      </c>
      <c r="F1598" s="80" t="b">
        <v>0</v>
      </c>
      <c r="G1598" s="80" t="b">
        <v>0</v>
      </c>
    </row>
    <row r="1599" spans="1:7" ht="15">
      <c r="A1599" s="81" t="s">
        <v>2523</v>
      </c>
      <c r="B1599" s="80">
        <v>4</v>
      </c>
      <c r="C1599" s="104">
        <v>0.0017207720524472132</v>
      </c>
      <c r="D1599" s="80" t="s">
        <v>2185</v>
      </c>
      <c r="E1599" s="80" t="b">
        <v>0</v>
      </c>
      <c r="F1599" s="80" t="b">
        <v>0</v>
      </c>
      <c r="G1599" s="80" t="b">
        <v>0</v>
      </c>
    </row>
    <row r="1600" spans="1:7" ht="15">
      <c r="A1600" s="81" t="s">
        <v>2256</v>
      </c>
      <c r="B1600" s="80">
        <v>4</v>
      </c>
      <c r="C1600" s="104">
        <v>0.0020384802192833225</v>
      </c>
      <c r="D1600" s="80" t="s">
        <v>2185</v>
      </c>
      <c r="E1600" s="80" t="b">
        <v>0</v>
      </c>
      <c r="F1600" s="80" t="b">
        <v>0</v>
      </c>
      <c r="G1600" s="80" t="b">
        <v>0</v>
      </c>
    </row>
    <row r="1601" spans="1:7" ht="15">
      <c r="A1601" s="81" t="s">
        <v>2288</v>
      </c>
      <c r="B1601" s="80">
        <v>3</v>
      </c>
      <c r="C1601" s="104">
        <v>0.0015288601644624917</v>
      </c>
      <c r="D1601" s="80" t="s">
        <v>2185</v>
      </c>
      <c r="E1601" s="80" t="b">
        <v>0</v>
      </c>
      <c r="F1601" s="80" t="b">
        <v>0</v>
      </c>
      <c r="G1601" s="80" t="b">
        <v>0</v>
      </c>
    </row>
    <row r="1602" spans="1:7" ht="15">
      <c r="A1602" s="81" t="s">
        <v>2586</v>
      </c>
      <c r="B1602" s="80">
        <v>3</v>
      </c>
      <c r="C1602" s="104">
        <v>0.0015288601644624917</v>
      </c>
      <c r="D1602" s="80" t="s">
        <v>2185</v>
      </c>
      <c r="E1602" s="80" t="b">
        <v>0</v>
      </c>
      <c r="F1602" s="80" t="b">
        <v>0</v>
      </c>
      <c r="G1602" s="80" t="b">
        <v>0</v>
      </c>
    </row>
    <row r="1603" spans="1:7" ht="15">
      <c r="A1603" s="81" t="s">
        <v>2241</v>
      </c>
      <c r="B1603" s="80">
        <v>3</v>
      </c>
      <c r="C1603" s="104">
        <v>0.0018646985479126147</v>
      </c>
      <c r="D1603" s="80" t="s">
        <v>2185</v>
      </c>
      <c r="E1603" s="80" t="b">
        <v>0</v>
      </c>
      <c r="F1603" s="80" t="b">
        <v>0</v>
      </c>
      <c r="G1603" s="80" t="b">
        <v>0</v>
      </c>
    </row>
    <row r="1604" spans="1:7" ht="15">
      <c r="A1604" s="81" t="s">
        <v>2372</v>
      </c>
      <c r="B1604" s="80">
        <v>3</v>
      </c>
      <c r="C1604" s="104">
        <v>0.0018646985479126147</v>
      </c>
      <c r="D1604" s="80" t="s">
        <v>2185</v>
      </c>
      <c r="E1604" s="80" t="b">
        <v>0</v>
      </c>
      <c r="F1604" s="80" t="b">
        <v>0</v>
      </c>
      <c r="G1604" s="80" t="b">
        <v>0</v>
      </c>
    </row>
    <row r="1605" spans="1:7" ht="15">
      <c r="A1605" s="81" t="s">
        <v>2379</v>
      </c>
      <c r="B1605" s="80">
        <v>3</v>
      </c>
      <c r="C1605" s="104">
        <v>0.0015288601644624917</v>
      </c>
      <c r="D1605" s="80" t="s">
        <v>2185</v>
      </c>
      <c r="E1605" s="80" t="b">
        <v>0</v>
      </c>
      <c r="F1605" s="80" t="b">
        <v>0</v>
      </c>
      <c r="G1605" s="80" t="b">
        <v>0</v>
      </c>
    </row>
    <row r="1606" spans="1:7" ht="15">
      <c r="A1606" s="81" t="s">
        <v>2240</v>
      </c>
      <c r="B1606" s="80">
        <v>3</v>
      </c>
      <c r="C1606" s="104">
        <v>0.0015288601644624917</v>
      </c>
      <c r="D1606" s="80" t="s">
        <v>2185</v>
      </c>
      <c r="E1606" s="80" t="b">
        <v>0</v>
      </c>
      <c r="F1606" s="80" t="b">
        <v>0</v>
      </c>
      <c r="G1606" s="80" t="b">
        <v>0</v>
      </c>
    </row>
    <row r="1607" spans="1:7" ht="15">
      <c r="A1607" s="81" t="s">
        <v>2784</v>
      </c>
      <c r="B1607" s="80">
        <v>3</v>
      </c>
      <c r="C1607" s="104">
        <v>0.00243881805648982</v>
      </c>
      <c r="D1607" s="80" t="s">
        <v>2185</v>
      </c>
      <c r="E1607" s="80" t="b">
        <v>0</v>
      </c>
      <c r="F1607" s="80" t="b">
        <v>0</v>
      </c>
      <c r="G1607" s="80" t="b">
        <v>0</v>
      </c>
    </row>
    <row r="1608" spans="1:7" ht="15">
      <c r="A1608" s="81" t="s">
        <v>2317</v>
      </c>
      <c r="B1608" s="80">
        <v>3</v>
      </c>
      <c r="C1608" s="104">
        <v>0.0018646985479126147</v>
      </c>
      <c r="D1608" s="80" t="s">
        <v>2185</v>
      </c>
      <c r="E1608" s="80" t="b">
        <v>0</v>
      </c>
      <c r="F1608" s="80" t="b">
        <v>0</v>
      </c>
      <c r="G1608" s="80" t="b">
        <v>0</v>
      </c>
    </row>
    <row r="1609" spans="1:7" ht="15">
      <c r="A1609" s="81" t="s">
        <v>2382</v>
      </c>
      <c r="B1609" s="80">
        <v>3</v>
      </c>
      <c r="C1609" s="104">
        <v>0.0015288601644624917</v>
      </c>
      <c r="D1609" s="80" t="s">
        <v>2185</v>
      </c>
      <c r="E1609" s="80" t="b">
        <v>0</v>
      </c>
      <c r="F1609" s="80" t="b">
        <v>0</v>
      </c>
      <c r="G1609" s="80" t="b">
        <v>0</v>
      </c>
    </row>
    <row r="1610" spans="1:7" ht="15">
      <c r="A1610" s="81" t="s">
        <v>2263</v>
      </c>
      <c r="B1610" s="80">
        <v>3</v>
      </c>
      <c r="C1610" s="104">
        <v>0.0018646985479126147</v>
      </c>
      <c r="D1610" s="80" t="s">
        <v>2185</v>
      </c>
      <c r="E1610" s="80" t="b">
        <v>0</v>
      </c>
      <c r="F1610" s="80" t="b">
        <v>0</v>
      </c>
      <c r="G1610" s="80" t="b">
        <v>0</v>
      </c>
    </row>
    <row r="1611" spans="1:7" ht="15">
      <c r="A1611" s="81" t="s">
        <v>2267</v>
      </c>
      <c r="B1611" s="80">
        <v>3</v>
      </c>
      <c r="C1611" s="104">
        <v>0.0015288601644624917</v>
      </c>
      <c r="D1611" s="80" t="s">
        <v>2185</v>
      </c>
      <c r="E1611" s="80" t="b">
        <v>0</v>
      </c>
      <c r="F1611" s="80" t="b">
        <v>0</v>
      </c>
      <c r="G1611" s="80" t="b">
        <v>0</v>
      </c>
    </row>
    <row r="1612" spans="1:7" ht="15">
      <c r="A1612" s="81" t="s">
        <v>2510</v>
      </c>
      <c r="B1612" s="80">
        <v>3</v>
      </c>
      <c r="C1612" s="104">
        <v>0.0015288601644624917</v>
      </c>
      <c r="D1612" s="80" t="s">
        <v>2185</v>
      </c>
      <c r="E1612" s="80" t="b">
        <v>0</v>
      </c>
      <c r="F1612" s="80" t="b">
        <v>0</v>
      </c>
      <c r="G1612" s="80" t="b">
        <v>0</v>
      </c>
    </row>
    <row r="1613" spans="1:7" ht="15">
      <c r="A1613" s="81" t="s">
        <v>2867</v>
      </c>
      <c r="B1613" s="80">
        <v>3</v>
      </c>
      <c r="C1613" s="104">
        <v>0.00243881805648982</v>
      </c>
      <c r="D1613" s="80" t="s">
        <v>2185</v>
      </c>
      <c r="E1613" s="80" t="b">
        <v>0</v>
      </c>
      <c r="F1613" s="80" t="b">
        <v>0</v>
      </c>
      <c r="G1613" s="80" t="b">
        <v>0</v>
      </c>
    </row>
    <row r="1614" spans="1:7" ht="15">
      <c r="A1614" s="81" t="s">
        <v>2456</v>
      </c>
      <c r="B1614" s="80">
        <v>3</v>
      </c>
      <c r="C1614" s="104">
        <v>0.0015288601644624917</v>
      </c>
      <c r="D1614" s="80" t="s">
        <v>2185</v>
      </c>
      <c r="E1614" s="80" t="b">
        <v>0</v>
      </c>
      <c r="F1614" s="80" t="b">
        <v>0</v>
      </c>
      <c r="G1614" s="80" t="b">
        <v>0</v>
      </c>
    </row>
    <row r="1615" spans="1:7" ht="15">
      <c r="A1615" s="81" t="s">
        <v>2354</v>
      </c>
      <c r="B1615" s="80">
        <v>3</v>
      </c>
      <c r="C1615" s="104">
        <v>0.0015288601644624917</v>
      </c>
      <c r="D1615" s="80" t="s">
        <v>2185</v>
      </c>
      <c r="E1615" s="80" t="b">
        <v>0</v>
      </c>
      <c r="F1615" s="80" t="b">
        <v>0</v>
      </c>
      <c r="G1615" s="80" t="b">
        <v>0</v>
      </c>
    </row>
    <row r="1616" spans="1:7" ht="15">
      <c r="A1616" s="81" t="s">
        <v>2635</v>
      </c>
      <c r="B1616" s="80">
        <v>3</v>
      </c>
      <c r="C1616" s="104">
        <v>0.0015288601644624917</v>
      </c>
      <c r="D1616" s="80" t="s">
        <v>2185</v>
      </c>
      <c r="E1616" s="80" t="b">
        <v>0</v>
      </c>
      <c r="F1616" s="80" t="b">
        <v>0</v>
      </c>
      <c r="G1616" s="80" t="b">
        <v>0</v>
      </c>
    </row>
    <row r="1617" spans="1:7" ht="15">
      <c r="A1617" s="81" t="s">
        <v>2676</v>
      </c>
      <c r="B1617" s="80">
        <v>3</v>
      </c>
      <c r="C1617" s="104">
        <v>0.0015288601644624917</v>
      </c>
      <c r="D1617" s="80" t="s">
        <v>2185</v>
      </c>
      <c r="E1617" s="80" t="b">
        <v>0</v>
      </c>
      <c r="F1617" s="80" t="b">
        <v>0</v>
      </c>
      <c r="G1617" s="80" t="b">
        <v>0</v>
      </c>
    </row>
    <row r="1618" spans="1:7" ht="15">
      <c r="A1618" s="81" t="s">
        <v>2383</v>
      </c>
      <c r="B1618" s="80">
        <v>3</v>
      </c>
      <c r="C1618" s="104">
        <v>0.00243881805648982</v>
      </c>
      <c r="D1618" s="80" t="s">
        <v>2185</v>
      </c>
      <c r="E1618" s="80" t="b">
        <v>1</v>
      </c>
      <c r="F1618" s="80" t="b">
        <v>0</v>
      </c>
      <c r="G1618" s="80" t="b">
        <v>0</v>
      </c>
    </row>
    <row r="1619" spans="1:7" ht="15">
      <c r="A1619" s="81" t="s">
        <v>2437</v>
      </c>
      <c r="B1619" s="80">
        <v>3</v>
      </c>
      <c r="C1619" s="104">
        <v>0.00243881805648982</v>
      </c>
      <c r="D1619" s="80" t="s">
        <v>2185</v>
      </c>
      <c r="E1619" s="80" t="b">
        <v>0</v>
      </c>
      <c r="F1619" s="80" t="b">
        <v>0</v>
      </c>
      <c r="G1619" s="80" t="b">
        <v>0</v>
      </c>
    </row>
    <row r="1620" spans="1:7" ht="15">
      <c r="A1620" s="81" t="s">
        <v>2292</v>
      </c>
      <c r="B1620" s="80">
        <v>3</v>
      </c>
      <c r="C1620" s="104">
        <v>0.0015288601644624917</v>
      </c>
      <c r="D1620" s="80" t="s">
        <v>2185</v>
      </c>
      <c r="E1620" s="80" t="b">
        <v>0</v>
      </c>
      <c r="F1620" s="80" t="b">
        <v>0</v>
      </c>
      <c r="G1620" s="80" t="b">
        <v>0</v>
      </c>
    </row>
    <row r="1621" spans="1:7" ht="15">
      <c r="A1621" s="81" t="s">
        <v>2403</v>
      </c>
      <c r="B1621" s="80">
        <v>3</v>
      </c>
      <c r="C1621" s="104">
        <v>0.0015288601644624917</v>
      </c>
      <c r="D1621" s="80" t="s">
        <v>2185</v>
      </c>
      <c r="E1621" s="80" t="b">
        <v>0</v>
      </c>
      <c r="F1621" s="80" t="b">
        <v>0</v>
      </c>
      <c r="G1621" s="80" t="b">
        <v>0</v>
      </c>
    </row>
    <row r="1622" spans="1:7" ht="15">
      <c r="A1622" s="81" t="s">
        <v>2455</v>
      </c>
      <c r="B1622" s="80">
        <v>3</v>
      </c>
      <c r="C1622" s="104">
        <v>0.0015288601644624917</v>
      </c>
      <c r="D1622" s="80" t="s">
        <v>2185</v>
      </c>
      <c r="E1622" s="80" t="b">
        <v>0</v>
      </c>
      <c r="F1622" s="80" t="b">
        <v>0</v>
      </c>
      <c r="G1622" s="80" t="b">
        <v>0</v>
      </c>
    </row>
    <row r="1623" spans="1:7" ht="15">
      <c r="A1623" s="81" t="s">
        <v>2370</v>
      </c>
      <c r="B1623" s="80">
        <v>3</v>
      </c>
      <c r="C1623" s="104">
        <v>0.0018646985479126147</v>
      </c>
      <c r="D1623" s="80" t="s">
        <v>2185</v>
      </c>
      <c r="E1623" s="80" t="b">
        <v>0</v>
      </c>
      <c r="F1623" s="80" t="b">
        <v>0</v>
      </c>
      <c r="G1623" s="80" t="b">
        <v>0</v>
      </c>
    </row>
    <row r="1624" spans="1:7" ht="15">
      <c r="A1624" s="81" t="s">
        <v>2260</v>
      </c>
      <c r="B1624" s="80">
        <v>3</v>
      </c>
      <c r="C1624" s="104">
        <v>0.0015288601644624917</v>
      </c>
      <c r="D1624" s="80" t="s">
        <v>2185</v>
      </c>
      <c r="E1624" s="80" t="b">
        <v>0</v>
      </c>
      <c r="F1624" s="80" t="b">
        <v>0</v>
      </c>
      <c r="G1624" s="80" t="b">
        <v>0</v>
      </c>
    </row>
    <row r="1625" spans="1:7" ht="15">
      <c r="A1625" s="81" t="s">
        <v>2366</v>
      </c>
      <c r="B1625" s="80">
        <v>3</v>
      </c>
      <c r="C1625" s="104">
        <v>0.0015288601644624917</v>
      </c>
      <c r="D1625" s="80" t="s">
        <v>2185</v>
      </c>
      <c r="E1625" s="80" t="b">
        <v>0</v>
      </c>
      <c r="F1625" s="80" t="b">
        <v>0</v>
      </c>
      <c r="G1625" s="80" t="b">
        <v>0</v>
      </c>
    </row>
    <row r="1626" spans="1:7" ht="15">
      <c r="A1626" s="81" t="s">
        <v>2458</v>
      </c>
      <c r="B1626" s="80">
        <v>3</v>
      </c>
      <c r="C1626" s="104">
        <v>0.0015288601644624917</v>
      </c>
      <c r="D1626" s="80" t="s">
        <v>2185</v>
      </c>
      <c r="E1626" s="80" t="b">
        <v>0</v>
      </c>
      <c r="F1626" s="80" t="b">
        <v>0</v>
      </c>
      <c r="G1626" s="80" t="b">
        <v>0</v>
      </c>
    </row>
    <row r="1627" spans="1:7" ht="15">
      <c r="A1627" s="81" t="s">
        <v>2872</v>
      </c>
      <c r="B1627" s="80">
        <v>3</v>
      </c>
      <c r="C1627" s="104">
        <v>0.00243881805648982</v>
      </c>
      <c r="D1627" s="80" t="s">
        <v>2185</v>
      </c>
      <c r="E1627" s="80" t="b">
        <v>0</v>
      </c>
      <c r="F1627" s="80" t="b">
        <v>0</v>
      </c>
      <c r="G1627" s="80" t="b">
        <v>0</v>
      </c>
    </row>
    <row r="1628" spans="1:7" ht="15">
      <c r="A1628" s="81" t="s">
        <v>2566</v>
      </c>
      <c r="B1628" s="80">
        <v>3</v>
      </c>
      <c r="C1628" s="104">
        <v>0.0015288601644624917</v>
      </c>
      <c r="D1628" s="80" t="s">
        <v>2185</v>
      </c>
      <c r="E1628" s="80" t="b">
        <v>0</v>
      </c>
      <c r="F1628" s="80" t="b">
        <v>0</v>
      </c>
      <c r="G1628" s="80" t="b">
        <v>0</v>
      </c>
    </row>
    <row r="1629" spans="1:7" ht="15">
      <c r="A1629" s="81" t="s">
        <v>2848</v>
      </c>
      <c r="B1629" s="80">
        <v>3</v>
      </c>
      <c r="C1629" s="104">
        <v>0.00243881805648982</v>
      </c>
      <c r="D1629" s="80" t="s">
        <v>2185</v>
      </c>
      <c r="E1629" s="80" t="b">
        <v>0</v>
      </c>
      <c r="F1629" s="80" t="b">
        <v>0</v>
      </c>
      <c r="G1629" s="80" t="b">
        <v>0</v>
      </c>
    </row>
    <row r="1630" spans="1:7" ht="15">
      <c r="A1630" s="81" t="s">
        <v>2462</v>
      </c>
      <c r="B1630" s="80">
        <v>3</v>
      </c>
      <c r="C1630" s="104">
        <v>0.0018646985479126147</v>
      </c>
      <c r="D1630" s="80" t="s">
        <v>2185</v>
      </c>
      <c r="E1630" s="80" t="b">
        <v>0</v>
      </c>
      <c r="F1630" s="80" t="b">
        <v>0</v>
      </c>
      <c r="G1630" s="80" t="b">
        <v>0</v>
      </c>
    </row>
    <row r="1631" spans="1:7" ht="15">
      <c r="A1631" s="81" t="s">
        <v>2717</v>
      </c>
      <c r="B1631" s="80">
        <v>3</v>
      </c>
      <c r="C1631" s="104">
        <v>0.0015288601644624917</v>
      </c>
      <c r="D1631" s="80" t="s">
        <v>2185</v>
      </c>
      <c r="E1631" s="80" t="b">
        <v>0</v>
      </c>
      <c r="F1631" s="80" t="b">
        <v>0</v>
      </c>
      <c r="G1631" s="80" t="b">
        <v>0</v>
      </c>
    </row>
    <row r="1632" spans="1:7" ht="15">
      <c r="A1632" s="81" t="s">
        <v>2300</v>
      </c>
      <c r="B1632" s="80">
        <v>2</v>
      </c>
      <c r="C1632" s="104">
        <v>0.0012431323652750766</v>
      </c>
      <c r="D1632" s="80" t="s">
        <v>2185</v>
      </c>
      <c r="E1632" s="80" t="b">
        <v>0</v>
      </c>
      <c r="F1632" s="80" t="b">
        <v>0</v>
      </c>
      <c r="G1632" s="80" t="b">
        <v>0</v>
      </c>
    </row>
    <row r="1633" spans="1:7" ht="15">
      <c r="A1633" s="81" t="s">
        <v>2381</v>
      </c>
      <c r="B1633" s="80">
        <v>2</v>
      </c>
      <c r="C1633" s="104">
        <v>0.0016258787043265466</v>
      </c>
      <c r="D1633" s="80" t="s">
        <v>2185</v>
      </c>
      <c r="E1633" s="80" t="b">
        <v>0</v>
      </c>
      <c r="F1633" s="80" t="b">
        <v>0</v>
      </c>
      <c r="G1633" s="80" t="b">
        <v>0</v>
      </c>
    </row>
    <row r="1634" spans="1:7" ht="15">
      <c r="A1634" s="81" t="s">
        <v>3307</v>
      </c>
      <c r="B1634" s="80">
        <v>2</v>
      </c>
      <c r="C1634" s="104">
        <v>0.0016258787043265466</v>
      </c>
      <c r="D1634" s="80" t="s">
        <v>2185</v>
      </c>
      <c r="E1634" s="80" t="b">
        <v>0</v>
      </c>
      <c r="F1634" s="80" t="b">
        <v>0</v>
      </c>
      <c r="G1634" s="80" t="b">
        <v>0</v>
      </c>
    </row>
    <row r="1635" spans="1:7" ht="15">
      <c r="A1635" s="81" t="s">
        <v>3248</v>
      </c>
      <c r="B1635" s="80">
        <v>2</v>
      </c>
      <c r="C1635" s="104">
        <v>0.0012431323652750766</v>
      </c>
      <c r="D1635" s="80" t="s">
        <v>2185</v>
      </c>
      <c r="E1635" s="80" t="b">
        <v>0</v>
      </c>
      <c r="F1635" s="80" t="b">
        <v>0</v>
      </c>
      <c r="G1635" s="80" t="b">
        <v>0</v>
      </c>
    </row>
    <row r="1636" spans="1:7" ht="15">
      <c r="A1636" s="81" t="s">
        <v>2899</v>
      </c>
      <c r="B1636" s="80">
        <v>2</v>
      </c>
      <c r="C1636" s="104">
        <v>0.0012431323652750766</v>
      </c>
      <c r="D1636" s="80" t="s">
        <v>2185</v>
      </c>
      <c r="E1636" s="80" t="b">
        <v>0</v>
      </c>
      <c r="F1636" s="80" t="b">
        <v>0</v>
      </c>
      <c r="G1636" s="80" t="b">
        <v>0</v>
      </c>
    </row>
    <row r="1637" spans="1:7" ht="15">
      <c r="A1637" s="81" t="s">
        <v>2947</v>
      </c>
      <c r="B1637" s="80">
        <v>2</v>
      </c>
      <c r="C1637" s="104">
        <v>0.0012431323652750766</v>
      </c>
      <c r="D1637" s="80" t="s">
        <v>2185</v>
      </c>
      <c r="E1637" s="80" t="b">
        <v>0</v>
      </c>
      <c r="F1637" s="80" t="b">
        <v>0</v>
      </c>
      <c r="G1637" s="80" t="b">
        <v>0</v>
      </c>
    </row>
    <row r="1638" spans="1:7" ht="15">
      <c r="A1638" s="81" t="s">
        <v>2252</v>
      </c>
      <c r="B1638" s="80">
        <v>2</v>
      </c>
      <c r="C1638" s="104">
        <v>0.0012431323652750766</v>
      </c>
      <c r="D1638" s="80" t="s">
        <v>2185</v>
      </c>
      <c r="E1638" s="80" t="b">
        <v>0</v>
      </c>
      <c r="F1638" s="80" t="b">
        <v>0</v>
      </c>
      <c r="G1638" s="80" t="b">
        <v>0</v>
      </c>
    </row>
    <row r="1639" spans="1:7" ht="15">
      <c r="A1639" s="81" t="s">
        <v>2264</v>
      </c>
      <c r="B1639" s="80">
        <v>2</v>
      </c>
      <c r="C1639" s="104">
        <v>0.0016258787043265466</v>
      </c>
      <c r="D1639" s="80" t="s">
        <v>2185</v>
      </c>
      <c r="E1639" s="80" t="b">
        <v>0</v>
      </c>
      <c r="F1639" s="80" t="b">
        <v>0</v>
      </c>
      <c r="G1639" s="80" t="b">
        <v>0</v>
      </c>
    </row>
    <row r="1640" spans="1:7" ht="15">
      <c r="A1640" s="81" t="s">
        <v>2469</v>
      </c>
      <c r="B1640" s="80">
        <v>2</v>
      </c>
      <c r="C1640" s="104">
        <v>0.0012431323652750766</v>
      </c>
      <c r="D1640" s="80" t="s">
        <v>2185</v>
      </c>
      <c r="E1640" s="80" t="b">
        <v>0</v>
      </c>
      <c r="F1640" s="80" t="b">
        <v>0</v>
      </c>
      <c r="G1640" s="80" t="b">
        <v>0</v>
      </c>
    </row>
    <row r="1641" spans="1:7" ht="15">
      <c r="A1641" s="81" t="s">
        <v>3308</v>
      </c>
      <c r="B1641" s="80">
        <v>2</v>
      </c>
      <c r="C1641" s="104">
        <v>0.0016258787043265466</v>
      </c>
      <c r="D1641" s="80" t="s">
        <v>2185</v>
      </c>
      <c r="E1641" s="80" t="b">
        <v>0</v>
      </c>
      <c r="F1641" s="80" t="b">
        <v>0</v>
      </c>
      <c r="G1641" s="80" t="b">
        <v>0</v>
      </c>
    </row>
    <row r="1642" spans="1:7" ht="15">
      <c r="A1642" s="81" t="s">
        <v>2687</v>
      </c>
      <c r="B1642" s="80">
        <v>2</v>
      </c>
      <c r="C1642" s="104">
        <v>0.0012431323652750766</v>
      </c>
      <c r="D1642" s="80" t="s">
        <v>2185</v>
      </c>
      <c r="E1642" s="80" t="b">
        <v>0</v>
      </c>
      <c r="F1642" s="80" t="b">
        <v>0</v>
      </c>
      <c r="G1642" s="80" t="b">
        <v>0</v>
      </c>
    </row>
    <row r="1643" spans="1:7" ht="15">
      <c r="A1643" s="81" t="s">
        <v>2402</v>
      </c>
      <c r="B1643" s="80">
        <v>2</v>
      </c>
      <c r="C1643" s="104">
        <v>0.0016258787043265466</v>
      </c>
      <c r="D1643" s="80" t="s">
        <v>2185</v>
      </c>
      <c r="E1643" s="80" t="b">
        <v>0</v>
      </c>
      <c r="F1643" s="80" t="b">
        <v>0</v>
      </c>
      <c r="G1643" s="80" t="b">
        <v>0</v>
      </c>
    </row>
    <row r="1644" spans="1:7" ht="15">
      <c r="A1644" s="81" t="s">
        <v>2573</v>
      </c>
      <c r="B1644" s="80">
        <v>2</v>
      </c>
      <c r="C1644" s="104">
        <v>0.0012431323652750766</v>
      </c>
      <c r="D1644" s="80" t="s">
        <v>2185</v>
      </c>
      <c r="E1644" s="80" t="b">
        <v>0</v>
      </c>
      <c r="F1644" s="80" t="b">
        <v>0</v>
      </c>
      <c r="G1644" s="80" t="b">
        <v>0</v>
      </c>
    </row>
    <row r="1645" spans="1:7" ht="15">
      <c r="A1645" s="81" t="s">
        <v>2265</v>
      </c>
      <c r="B1645" s="80">
        <v>2</v>
      </c>
      <c r="C1645" s="104">
        <v>0.0016258787043265466</v>
      </c>
      <c r="D1645" s="80" t="s">
        <v>2185</v>
      </c>
      <c r="E1645" s="80" t="b">
        <v>0</v>
      </c>
      <c r="F1645" s="80" t="b">
        <v>0</v>
      </c>
      <c r="G1645" s="80" t="b">
        <v>0</v>
      </c>
    </row>
    <row r="1646" spans="1:7" ht="15">
      <c r="A1646" s="81" t="s">
        <v>2268</v>
      </c>
      <c r="B1646" s="80">
        <v>2</v>
      </c>
      <c r="C1646" s="104">
        <v>0.0016258787043265466</v>
      </c>
      <c r="D1646" s="80" t="s">
        <v>2185</v>
      </c>
      <c r="E1646" s="80" t="b">
        <v>0</v>
      </c>
      <c r="F1646" s="80" t="b">
        <v>0</v>
      </c>
      <c r="G1646" s="80" t="b">
        <v>0</v>
      </c>
    </row>
    <row r="1647" spans="1:7" ht="15">
      <c r="A1647" s="81" t="s">
        <v>2352</v>
      </c>
      <c r="B1647" s="80">
        <v>2</v>
      </c>
      <c r="C1647" s="104">
        <v>0.0016258787043265466</v>
      </c>
      <c r="D1647" s="80" t="s">
        <v>2185</v>
      </c>
      <c r="E1647" s="80" t="b">
        <v>0</v>
      </c>
      <c r="F1647" s="80" t="b">
        <v>0</v>
      </c>
      <c r="G1647" s="80" t="b">
        <v>0</v>
      </c>
    </row>
    <row r="1648" spans="1:7" ht="15">
      <c r="A1648" s="81" t="s">
        <v>2239</v>
      </c>
      <c r="B1648" s="80">
        <v>2</v>
      </c>
      <c r="C1648" s="104">
        <v>0.0016258787043265466</v>
      </c>
      <c r="D1648" s="80" t="s">
        <v>2185</v>
      </c>
      <c r="E1648" s="80" t="b">
        <v>0</v>
      </c>
      <c r="F1648" s="80" t="b">
        <v>0</v>
      </c>
      <c r="G1648" s="80" t="b">
        <v>0</v>
      </c>
    </row>
    <row r="1649" spans="1:7" ht="15">
      <c r="A1649" s="81" t="s">
        <v>2251</v>
      </c>
      <c r="B1649" s="80">
        <v>2</v>
      </c>
      <c r="C1649" s="104">
        <v>0.0016258787043265466</v>
      </c>
      <c r="D1649" s="80" t="s">
        <v>2185</v>
      </c>
      <c r="E1649" s="80" t="b">
        <v>0</v>
      </c>
      <c r="F1649" s="80" t="b">
        <v>0</v>
      </c>
      <c r="G1649" s="80" t="b">
        <v>0</v>
      </c>
    </row>
    <row r="1650" spans="1:7" ht="15">
      <c r="A1650" s="81" t="s">
        <v>2731</v>
      </c>
      <c r="B1650" s="80">
        <v>2</v>
      </c>
      <c r="C1650" s="104">
        <v>0.0012431323652750766</v>
      </c>
      <c r="D1650" s="80" t="s">
        <v>2185</v>
      </c>
      <c r="E1650" s="80" t="b">
        <v>0</v>
      </c>
      <c r="F1650" s="80" t="b">
        <v>0</v>
      </c>
      <c r="G1650" s="80" t="b">
        <v>0</v>
      </c>
    </row>
    <row r="1651" spans="1:7" ht="15">
      <c r="A1651" s="81" t="s">
        <v>3174</v>
      </c>
      <c r="B1651" s="80">
        <v>2</v>
      </c>
      <c r="C1651" s="104">
        <v>0.0016258787043265466</v>
      </c>
      <c r="D1651" s="80" t="s">
        <v>2185</v>
      </c>
      <c r="E1651" s="80" t="b">
        <v>0</v>
      </c>
      <c r="F1651" s="80" t="b">
        <v>0</v>
      </c>
      <c r="G1651" s="80" t="b">
        <v>0</v>
      </c>
    </row>
    <row r="1652" spans="1:7" ht="15">
      <c r="A1652" s="81" t="s">
        <v>3362</v>
      </c>
      <c r="B1652" s="80">
        <v>2</v>
      </c>
      <c r="C1652" s="104">
        <v>0.0012431323652750766</v>
      </c>
      <c r="D1652" s="80" t="s">
        <v>2185</v>
      </c>
      <c r="E1652" s="80" t="b">
        <v>0</v>
      </c>
      <c r="F1652" s="80" t="b">
        <v>0</v>
      </c>
      <c r="G1652" s="80" t="b">
        <v>0</v>
      </c>
    </row>
    <row r="1653" spans="1:7" ht="15">
      <c r="A1653" s="81" t="s">
        <v>2910</v>
      </c>
      <c r="B1653" s="80">
        <v>2</v>
      </c>
      <c r="C1653" s="104">
        <v>0.0016258787043265466</v>
      </c>
      <c r="D1653" s="80" t="s">
        <v>2185</v>
      </c>
      <c r="E1653" s="80" t="b">
        <v>0</v>
      </c>
      <c r="F1653" s="80" t="b">
        <v>0</v>
      </c>
      <c r="G1653" s="80" t="b">
        <v>0</v>
      </c>
    </row>
    <row r="1654" spans="1:7" ht="15">
      <c r="A1654" s="81" t="s">
        <v>3201</v>
      </c>
      <c r="B1654" s="80">
        <v>2</v>
      </c>
      <c r="C1654" s="104">
        <v>0.0016258787043265466</v>
      </c>
      <c r="D1654" s="80" t="s">
        <v>2185</v>
      </c>
      <c r="E1654" s="80" t="b">
        <v>0</v>
      </c>
      <c r="F1654" s="80" t="b">
        <v>0</v>
      </c>
      <c r="G1654" s="80" t="b">
        <v>0</v>
      </c>
    </row>
    <row r="1655" spans="1:7" ht="15">
      <c r="A1655" s="81" t="s">
        <v>2826</v>
      </c>
      <c r="B1655" s="80">
        <v>2</v>
      </c>
      <c r="C1655" s="104">
        <v>0.0016258787043265466</v>
      </c>
      <c r="D1655" s="80" t="s">
        <v>2185</v>
      </c>
      <c r="E1655" s="80" t="b">
        <v>0</v>
      </c>
      <c r="F1655" s="80" t="b">
        <v>0</v>
      </c>
      <c r="G1655" s="80" t="b">
        <v>0</v>
      </c>
    </row>
    <row r="1656" spans="1:7" ht="15">
      <c r="A1656" s="81" t="s">
        <v>2827</v>
      </c>
      <c r="B1656" s="80">
        <v>2</v>
      </c>
      <c r="C1656" s="104">
        <v>0.0016258787043265466</v>
      </c>
      <c r="D1656" s="80" t="s">
        <v>2185</v>
      </c>
      <c r="E1656" s="80" t="b">
        <v>0</v>
      </c>
      <c r="F1656" s="80" t="b">
        <v>0</v>
      </c>
      <c r="G1656" s="80" t="b">
        <v>0</v>
      </c>
    </row>
    <row r="1657" spans="1:7" ht="15">
      <c r="A1657" s="81" t="s">
        <v>3081</v>
      </c>
      <c r="B1657" s="80">
        <v>2</v>
      </c>
      <c r="C1657" s="104">
        <v>0.0012431323652750766</v>
      </c>
      <c r="D1657" s="80" t="s">
        <v>2185</v>
      </c>
      <c r="E1657" s="80" t="b">
        <v>0</v>
      </c>
      <c r="F1657" s="80" t="b">
        <v>0</v>
      </c>
      <c r="G1657" s="80" t="b">
        <v>0</v>
      </c>
    </row>
    <row r="1658" spans="1:7" ht="15">
      <c r="A1658" s="81" t="s">
        <v>2616</v>
      </c>
      <c r="B1658" s="80">
        <v>2</v>
      </c>
      <c r="C1658" s="104">
        <v>0.0012431323652750766</v>
      </c>
      <c r="D1658" s="80" t="s">
        <v>2185</v>
      </c>
      <c r="E1658" s="80" t="b">
        <v>0</v>
      </c>
      <c r="F1658" s="80" t="b">
        <v>0</v>
      </c>
      <c r="G1658" s="80" t="b">
        <v>0</v>
      </c>
    </row>
    <row r="1659" spans="1:7" ht="15">
      <c r="A1659" s="81" t="s">
        <v>2808</v>
      </c>
      <c r="B1659" s="80">
        <v>2</v>
      </c>
      <c r="C1659" s="104">
        <v>0.0012431323652750766</v>
      </c>
      <c r="D1659" s="80" t="s">
        <v>2185</v>
      </c>
      <c r="E1659" s="80" t="b">
        <v>0</v>
      </c>
      <c r="F1659" s="80" t="b">
        <v>0</v>
      </c>
      <c r="G1659" s="80" t="b">
        <v>0</v>
      </c>
    </row>
    <row r="1660" spans="1:7" ht="15">
      <c r="A1660" s="81" t="s">
        <v>2484</v>
      </c>
      <c r="B1660" s="80">
        <v>2</v>
      </c>
      <c r="C1660" s="104">
        <v>0.0012431323652750766</v>
      </c>
      <c r="D1660" s="80" t="s">
        <v>2185</v>
      </c>
      <c r="E1660" s="80" t="b">
        <v>0</v>
      </c>
      <c r="F1660" s="80" t="b">
        <v>0</v>
      </c>
      <c r="G1660" s="80" t="b">
        <v>0</v>
      </c>
    </row>
    <row r="1661" spans="1:7" ht="15">
      <c r="A1661" s="81" t="s">
        <v>2501</v>
      </c>
      <c r="B1661" s="80">
        <v>2</v>
      </c>
      <c r="C1661" s="104">
        <v>0.0012431323652750766</v>
      </c>
      <c r="D1661" s="80" t="s">
        <v>2185</v>
      </c>
      <c r="E1661" s="80" t="b">
        <v>0</v>
      </c>
      <c r="F1661" s="80" t="b">
        <v>0</v>
      </c>
      <c r="G1661" s="80" t="b">
        <v>0</v>
      </c>
    </row>
    <row r="1662" spans="1:7" ht="15">
      <c r="A1662" s="81" t="s">
        <v>2398</v>
      </c>
      <c r="B1662" s="80">
        <v>2</v>
      </c>
      <c r="C1662" s="104">
        <v>0.0012431323652750766</v>
      </c>
      <c r="D1662" s="80" t="s">
        <v>2185</v>
      </c>
      <c r="E1662" s="80" t="b">
        <v>0</v>
      </c>
      <c r="F1662" s="80" t="b">
        <v>0</v>
      </c>
      <c r="G1662" s="80" t="b">
        <v>0</v>
      </c>
    </row>
    <row r="1663" spans="1:7" ht="15">
      <c r="A1663" s="81" t="s">
        <v>2508</v>
      </c>
      <c r="B1663" s="80">
        <v>2</v>
      </c>
      <c r="C1663" s="104">
        <v>0.0012431323652750766</v>
      </c>
      <c r="D1663" s="80" t="s">
        <v>2185</v>
      </c>
      <c r="E1663" s="80" t="b">
        <v>0</v>
      </c>
      <c r="F1663" s="80" t="b">
        <v>0</v>
      </c>
      <c r="G1663" s="80" t="b">
        <v>0</v>
      </c>
    </row>
    <row r="1664" spans="1:7" ht="15">
      <c r="A1664" s="81" t="s">
        <v>2974</v>
      </c>
      <c r="B1664" s="80">
        <v>2</v>
      </c>
      <c r="C1664" s="104">
        <v>0.0016258787043265466</v>
      </c>
      <c r="D1664" s="80" t="s">
        <v>2185</v>
      </c>
      <c r="E1664" s="80" t="b">
        <v>0</v>
      </c>
      <c r="F1664" s="80" t="b">
        <v>0</v>
      </c>
      <c r="G1664" s="80" t="b">
        <v>0</v>
      </c>
    </row>
    <row r="1665" spans="1:7" ht="15">
      <c r="A1665" s="81" t="s">
        <v>3147</v>
      </c>
      <c r="B1665" s="80">
        <v>2</v>
      </c>
      <c r="C1665" s="104">
        <v>0.0012431323652750766</v>
      </c>
      <c r="D1665" s="80" t="s">
        <v>2185</v>
      </c>
      <c r="E1665" s="80" t="b">
        <v>0</v>
      </c>
      <c r="F1665" s="80" t="b">
        <v>0</v>
      </c>
      <c r="G1665" s="80" t="b">
        <v>0</v>
      </c>
    </row>
    <row r="1666" spans="1:7" ht="15">
      <c r="A1666" s="81" t="s">
        <v>2411</v>
      </c>
      <c r="B1666" s="80">
        <v>2</v>
      </c>
      <c r="C1666" s="104">
        <v>0.0012431323652750766</v>
      </c>
      <c r="D1666" s="80" t="s">
        <v>2185</v>
      </c>
      <c r="E1666" s="80" t="b">
        <v>0</v>
      </c>
      <c r="F1666" s="80" t="b">
        <v>0</v>
      </c>
      <c r="G1666" s="80" t="b">
        <v>0</v>
      </c>
    </row>
    <row r="1667" spans="1:7" ht="15">
      <c r="A1667" s="81" t="s">
        <v>2357</v>
      </c>
      <c r="B1667" s="80">
        <v>2</v>
      </c>
      <c r="C1667" s="104">
        <v>0.0012431323652750766</v>
      </c>
      <c r="D1667" s="80" t="s">
        <v>2185</v>
      </c>
      <c r="E1667" s="80" t="b">
        <v>0</v>
      </c>
      <c r="F1667" s="80" t="b">
        <v>0</v>
      </c>
      <c r="G1667" s="80" t="b">
        <v>0</v>
      </c>
    </row>
    <row r="1668" spans="1:7" ht="15">
      <c r="A1668" s="81" t="s">
        <v>2846</v>
      </c>
      <c r="B1668" s="80">
        <v>2</v>
      </c>
      <c r="C1668" s="104">
        <v>0.0012431323652750766</v>
      </c>
      <c r="D1668" s="80" t="s">
        <v>2185</v>
      </c>
      <c r="E1668" s="80" t="b">
        <v>0</v>
      </c>
      <c r="F1668" s="80" t="b">
        <v>0</v>
      </c>
      <c r="G1668" s="80" t="b">
        <v>0</v>
      </c>
    </row>
    <row r="1669" spans="1:7" ht="15">
      <c r="A1669" s="81" t="s">
        <v>2765</v>
      </c>
      <c r="B1669" s="80">
        <v>2</v>
      </c>
      <c r="C1669" s="104">
        <v>0.0016258787043265466</v>
      </c>
      <c r="D1669" s="80" t="s">
        <v>2185</v>
      </c>
      <c r="E1669" s="80" t="b">
        <v>0</v>
      </c>
      <c r="F1669" s="80" t="b">
        <v>0</v>
      </c>
      <c r="G1669" s="80" t="b">
        <v>0</v>
      </c>
    </row>
    <row r="1670" spans="1:7" ht="15">
      <c r="A1670" s="81" t="s">
        <v>2828</v>
      </c>
      <c r="B1670" s="80">
        <v>2</v>
      </c>
      <c r="C1670" s="104">
        <v>0.0016258787043265466</v>
      </c>
      <c r="D1670" s="80" t="s">
        <v>2185</v>
      </c>
      <c r="E1670" s="80" t="b">
        <v>0</v>
      </c>
      <c r="F1670" s="80" t="b">
        <v>0</v>
      </c>
      <c r="G1670" s="80" t="b">
        <v>0</v>
      </c>
    </row>
    <row r="1671" spans="1:7" ht="15">
      <c r="A1671" s="81" t="s">
        <v>3167</v>
      </c>
      <c r="B1671" s="80">
        <v>2</v>
      </c>
      <c r="C1671" s="104">
        <v>0.0012431323652750766</v>
      </c>
      <c r="D1671" s="80" t="s">
        <v>2185</v>
      </c>
      <c r="E1671" s="80" t="b">
        <v>0</v>
      </c>
      <c r="F1671" s="80" t="b">
        <v>0</v>
      </c>
      <c r="G1671" s="80" t="b">
        <v>0</v>
      </c>
    </row>
    <row r="1672" spans="1:7" ht="15">
      <c r="A1672" s="81" t="s">
        <v>3187</v>
      </c>
      <c r="B1672" s="80">
        <v>2</v>
      </c>
      <c r="C1672" s="104">
        <v>0.0012431323652750766</v>
      </c>
      <c r="D1672" s="80" t="s">
        <v>2185</v>
      </c>
      <c r="E1672" s="80" t="b">
        <v>0</v>
      </c>
      <c r="F1672" s="80" t="b">
        <v>0</v>
      </c>
      <c r="G1672" s="80" t="b">
        <v>0</v>
      </c>
    </row>
    <row r="1673" spans="1:7" ht="15">
      <c r="A1673" s="81" t="s">
        <v>2392</v>
      </c>
      <c r="B1673" s="80">
        <v>2</v>
      </c>
      <c r="C1673" s="104">
        <v>0.0012431323652750766</v>
      </c>
      <c r="D1673" s="80" t="s">
        <v>2185</v>
      </c>
      <c r="E1673" s="80" t="b">
        <v>0</v>
      </c>
      <c r="F1673" s="80" t="b">
        <v>0</v>
      </c>
      <c r="G1673" s="80" t="b">
        <v>0</v>
      </c>
    </row>
    <row r="1674" spans="1:7" ht="15">
      <c r="A1674" s="81" t="s">
        <v>3342</v>
      </c>
      <c r="B1674" s="80">
        <v>2</v>
      </c>
      <c r="C1674" s="104">
        <v>0.0012431323652750766</v>
      </c>
      <c r="D1674" s="80" t="s">
        <v>2185</v>
      </c>
      <c r="E1674" s="80" t="b">
        <v>0</v>
      </c>
      <c r="F1674" s="80" t="b">
        <v>0</v>
      </c>
      <c r="G1674" s="80" t="b">
        <v>0</v>
      </c>
    </row>
    <row r="1675" spans="1:7" ht="15">
      <c r="A1675" s="81" t="s">
        <v>3292</v>
      </c>
      <c r="B1675" s="80">
        <v>2</v>
      </c>
      <c r="C1675" s="104">
        <v>0.0016258787043265466</v>
      </c>
      <c r="D1675" s="80" t="s">
        <v>2185</v>
      </c>
      <c r="E1675" s="80" t="b">
        <v>0</v>
      </c>
      <c r="F1675" s="80" t="b">
        <v>0</v>
      </c>
      <c r="G1675" s="80" t="b">
        <v>0</v>
      </c>
    </row>
    <row r="1676" spans="1:7" ht="15">
      <c r="A1676" s="81" t="s">
        <v>2546</v>
      </c>
      <c r="B1676" s="80">
        <v>2</v>
      </c>
      <c r="C1676" s="104">
        <v>0.0012431323652750766</v>
      </c>
      <c r="D1676" s="80" t="s">
        <v>2185</v>
      </c>
      <c r="E1676" s="80" t="b">
        <v>1</v>
      </c>
      <c r="F1676" s="80" t="b">
        <v>0</v>
      </c>
      <c r="G1676" s="80" t="b">
        <v>0</v>
      </c>
    </row>
    <row r="1677" spans="1:7" ht="15">
      <c r="A1677" s="81" t="s">
        <v>3301</v>
      </c>
      <c r="B1677" s="80">
        <v>2</v>
      </c>
      <c r="C1677" s="104">
        <v>0.0012431323652750766</v>
      </c>
      <c r="D1677" s="80" t="s">
        <v>2185</v>
      </c>
      <c r="E1677" s="80" t="b">
        <v>0</v>
      </c>
      <c r="F1677" s="80" t="b">
        <v>0</v>
      </c>
      <c r="G1677" s="80" t="b">
        <v>0</v>
      </c>
    </row>
    <row r="1678" spans="1:7" ht="15">
      <c r="A1678" s="81" t="s">
        <v>2640</v>
      </c>
      <c r="B1678" s="80">
        <v>2</v>
      </c>
      <c r="C1678" s="104">
        <v>0.0012431323652750766</v>
      </c>
      <c r="D1678" s="80" t="s">
        <v>2185</v>
      </c>
      <c r="E1678" s="80" t="b">
        <v>0</v>
      </c>
      <c r="F1678" s="80" t="b">
        <v>0</v>
      </c>
      <c r="G1678" s="80" t="b">
        <v>0</v>
      </c>
    </row>
    <row r="1679" spans="1:7" ht="15">
      <c r="A1679" s="81" t="s">
        <v>2471</v>
      </c>
      <c r="B1679" s="80">
        <v>2</v>
      </c>
      <c r="C1679" s="104">
        <v>0.0012431323652750766</v>
      </c>
      <c r="D1679" s="80" t="s">
        <v>2185</v>
      </c>
      <c r="E1679" s="80" t="b">
        <v>0</v>
      </c>
      <c r="F1679" s="80" t="b">
        <v>0</v>
      </c>
      <c r="G1679" s="80" t="b">
        <v>0</v>
      </c>
    </row>
    <row r="1680" spans="1:7" ht="15">
      <c r="A1680" s="81" t="s">
        <v>3195</v>
      </c>
      <c r="B1680" s="80">
        <v>2</v>
      </c>
      <c r="C1680" s="104">
        <v>0.0016258787043265466</v>
      </c>
      <c r="D1680" s="80" t="s">
        <v>2185</v>
      </c>
      <c r="E1680" s="80" t="b">
        <v>0</v>
      </c>
      <c r="F1680" s="80" t="b">
        <v>0</v>
      </c>
      <c r="G1680" s="80" t="b">
        <v>0</v>
      </c>
    </row>
    <row r="1681" spans="1:7" ht="15">
      <c r="A1681" s="81" t="s">
        <v>3121</v>
      </c>
      <c r="B1681" s="80">
        <v>2</v>
      </c>
      <c r="C1681" s="104">
        <v>0.0012431323652750766</v>
      </c>
      <c r="D1681" s="80" t="s">
        <v>2185</v>
      </c>
      <c r="E1681" s="80" t="b">
        <v>0</v>
      </c>
      <c r="F1681" s="80" t="b">
        <v>0</v>
      </c>
      <c r="G1681" s="80" t="b">
        <v>0</v>
      </c>
    </row>
    <row r="1682" spans="1:7" ht="15">
      <c r="A1682" s="81" t="s">
        <v>3169</v>
      </c>
      <c r="B1682" s="80">
        <v>2</v>
      </c>
      <c r="C1682" s="104">
        <v>0.0012431323652750766</v>
      </c>
      <c r="D1682" s="80" t="s">
        <v>2185</v>
      </c>
      <c r="E1682" s="80" t="b">
        <v>0</v>
      </c>
      <c r="F1682" s="80" t="b">
        <v>0</v>
      </c>
      <c r="G1682" s="80" t="b">
        <v>0</v>
      </c>
    </row>
    <row r="1683" spans="1:7" ht="15">
      <c r="A1683" s="81" t="s">
        <v>2618</v>
      </c>
      <c r="B1683" s="80">
        <v>2</v>
      </c>
      <c r="C1683" s="104">
        <v>0.0012431323652750766</v>
      </c>
      <c r="D1683" s="80" t="s">
        <v>2185</v>
      </c>
      <c r="E1683" s="80" t="b">
        <v>0</v>
      </c>
      <c r="F1683" s="80" t="b">
        <v>0</v>
      </c>
      <c r="G1683" s="80" t="b">
        <v>0</v>
      </c>
    </row>
    <row r="1684" spans="1:7" ht="15">
      <c r="A1684" s="81" t="s">
        <v>2351</v>
      </c>
      <c r="B1684" s="80">
        <v>2</v>
      </c>
      <c r="C1684" s="104">
        <v>0.0012431323652750766</v>
      </c>
      <c r="D1684" s="80" t="s">
        <v>2185</v>
      </c>
      <c r="E1684" s="80" t="b">
        <v>0</v>
      </c>
      <c r="F1684" s="80" t="b">
        <v>0</v>
      </c>
      <c r="G1684" s="80" t="b">
        <v>0</v>
      </c>
    </row>
    <row r="1685" spans="1:7" ht="15">
      <c r="A1685" s="81" t="s">
        <v>3146</v>
      </c>
      <c r="B1685" s="80">
        <v>2</v>
      </c>
      <c r="C1685" s="104">
        <v>0.0012431323652750766</v>
      </c>
      <c r="D1685" s="80" t="s">
        <v>2185</v>
      </c>
      <c r="E1685" s="80" t="b">
        <v>0</v>
      </c>
      <c r="F1685" s="80" t="b">
        <v>0</v>
      </c>
      <c r="G1685" s="80" t="b">
        <v>0</v>
      </c>
    </row>
    <row r="1686" spans="1:7" ht="15">
      <c r="A1686" s="81" t="s">
        <v>2906</v>
      </c>
      <c r="B1686" s="80">
        <v>2</v>
      </c>
      <c r="C1686" s="104">
        <v>0.0016258787043265466</v>
      </c>
      <c r="D1686" s="80" t="s">
        <v>2185</v>
      </c>
      <c r="E1686" s="80" t="b">
        <v>0</v>
      </c>
      <c r="F1686" s="80" t="b">
        <v>0</v>
      </c>
      <c r="G1686" s="80" t="b">
        <v>0</v>
      </c>
    </row>
    <row r="1687" spans="1:7" ht="15">
      <c r="A1687" s="81" t="s">
        <v>2875</v>
      </c>
      <c r="B1687" s="80">
        <v>2</v>
      </c>
      <c r="C1687" s="104">
        <v>0.0012431323652750766</v>
      </c>
      <c r="D1687" s="80" t="s">
        <v>2185</v>
      </c>
      <c r="E1687" s="80" t="b">
        <v>0</v>
      </c>
      <c r="F1687" s="80" t="b">
        <v>0</v>
      </c>
      <c r="G1687" s="80" t="b">
        <v>0</v>
      </c>
    </row>
    <row r="1688" spans="1:7" ht="15">
      <c r="A1688" s="81" t="s">
        <v>2414</v>
      </c>
      <c r="B1688" s="80">
        <v>2</v>
      </c>
      <c r="C1688" s="104">
        <v>0.0012431323652750766</v>
      </c>
      <c r="D1688" s="80" t="s">
        <v>2185</v>
      </c>
      <c r="E1688" s="80" t="b">
        <v>0</v>
      </c>
      <c r="F1688" s="80" t="b">
        <v>0</v>
      </c>
      <c r="G1688" s="80" t="b">
        <v>0</v>
      </c>
    </row>
    <row r="1689" spans="1:7" ht="15">
      <c r="A1689" s="81" t="s">
        <v>2882</v>
      </c>
      <c r="B1689" s="80">
        <v>2</v>
      </c>
      <c r="C1689" s="104">
        <v>0.0012431323652750766</v>
      </c>
      <c r="D1689" s="80" t="s">
        <v>2185</v>
      </c>
      <c r="E1689" s="80" t="b">
        <v>0</v>
      </c>
      <c r="F1689" s="80" t="b">
        <v>0</v>
      </c>
      <c r="G1689" s="80" t="b">
        <v>0</v>
      </c>
    </row>
    <row r="1690" spans="1:7" ht="15">
      <c r="A1690" s="81" t="s">
        <v>2389</v>
      </c>
      <c r="B1690" s="80">
        <v>2</v>
      </c>
      <c r="C1690" s="104">
        <v>0.0012431323652750766</v>
      </c>
      <c r="D1690" s="80" t="s">
        <v>2185</v>
      </c>
      <c r="E1690" s="80" t="b">
        <v>0</v>
      </c>
      <c r="F1690" s="80" t="b">
        <v>0</v>
      </c>
      <c r="G1690" s="80" t="b">
        <v>0</v>
      </c>
    </row>
    <row r="1691" spans="1:7" ht="15">
      <c r="A1691" s="81" t="s">
        <v>2641</v>
      </c>
      <c r="B1691" s="80">
        <v>2</v>
      </c>
      <c r="C1691" s="104">
        <v>0.0012431323652750766</v>
      </c>
      <c r="D1691" s="80" t="s">
        <v>2185</v>
      </c>
      <c r="E1691" s="80" t="b">
        <v>0</v>
      </c>
      <c r="F1691" s="80" t="b">
        <v>0</v>
      </c>
      <c r="G1691" s="80" t="b">
        <v>0</v>
      </c>
    </row>
    <row r="1692" spans="1:7" ht="15">
      <c r="A1692" s="81" t="s">
        <v>3158</v>
      </c>
      <c r="B1692" s="80">
        <v>2</v>
      </c>
      <c r="C1692" s="104">
        <v>0.0012431323652750766</v>
      </c>
      <c r="D1692" s="80" t="s">
        <v>2185</v>
      </c>
      <c r="E1692" s="80" t="b">
        <v>0</v>
      </c>
      <c r="F1692" s="80" t="b">
        <v>0</v>
      </c>
      <c r="G1692" s="80" t="b">
        <v>0</v>
      </c>
    </row>
    <row r="1693" spans="1:7" ht="15">
      <c r="A1693" s="81" t="s">
        <v>2723</v>
      </c>
      <c r="B1693" s="80">
        <v>2</v>
      </c>
      <c r="C1693" s="104">
        <v>0.0012431323652750766</v>
      </c>
      <c r="D1693" s="80" t="s">
        <v>2185</v>
      </c>
      <c r="E1693" s="80" t="b">
        <v>0</v>
      </c>
      <c r="F1693" s="80" t="b">
        <v>0</v>
      </c>
      <c r="G1693" s="80" t="b">
        <v>0</v>
      </c>
    </row>
    <row r="1694" spans="1:7" ht="15">
      <c r="A1694" s="81" t="s">
        <v>3343</v>
      </c>
      <c r="B1694" s="80">
        <v>2</v>
      </c>
      <c r="C1694" s="104">
        <v>0.0012431323652750766</v>
      </c>
      <c r="D1694" s="80" t="s">
        <v>2185</v>
      </c>
      <c r="E1694" s="80" t="b">
        <v>0</v>
      </c>
      <c r="F1694" s="80" t="b">
        <v>0</v>
      </c>
      <c r="G1694" s="80" t="b">
        <v>0</v>
      </c>
    </row>
    <row r="1695" spans="1:7" ht="15">
      <c r="A1695" s="81" t="s">
        <v>2344</v>
      </c>
      <c r="B1695" s="80">
        <v>2</v>
      </c>
      <c r="C1695" s="104">
        <v>0.0012431323652750766</v>
      </c>
      <c r="D1695" s="80" t="s">
        <v>2185</v>
      </c>
      <c r="E1695" s="80" t="b">
        <v>0</v>
      </c>
      <c r="F1695" s="80" t="b">
        <v>0</v>
      </c>
      <c r="G1695" s="80" t="b">
        <v>0</v>
      </c>
    </row>
    <row r="1696" spans="1:7" ht="15">
      <c r="A1696" s="81" t="s">
        <v>2890</v>
      </c>
      <c r="B1696" s="80">
        <v>2</v>
      </c>
      <c r="C1696" s="104">
        <v>0.0012431323652750766</v>
      </c>
      <c r="D1696" s="80" t="s">
        <v>2185</v>
      </c>
      <c r="E1696" s="80" t="b">
        <v>0</v>
      </c>
      <c r="F1696" s="80" t="b">
        <v>0</v>
      </c>
      <c r="G1696" s="80" t="b">
        <v>0</v>
      </c>
    </row>
    <row r="1697" spans="1:7" ht="15">
      <c r="A1697" s="81" t="s">
        <v>2310</v>
      </c>
      <c r="B1697" s="80">
        <v>2</v>
      </c>
      <c r="C1697" s="104">
        <v>0.0012431323652750766</v>
      </c>
      <c r="D1697" s="80" t="s">
        <v>2185</v>
      </c>
      <c r="E1697" s="80" t="b">
        <v>0</v>
      </c>
      <c r="F1697" s="80" t="b">
        <v>0</v>
      </c>
      <c r="G1697" s="80" t="b">
        <v>0</v>
      </c>
    </row>
    <row r="1698" spans="1:7" ht="15">
      <c r="A1698" s="81" t="s">
        <v>2804</v>
      </c>
      <c r="B1698" s="80">
        <v>2</v>
      </c>
      <c r="C1698" s="104">
        <v>0.0012431323652750766</v>
      </c>
      <c r="D1698" s="80" t="s">
        <v>2185</v>
      </c>
      <c r="E1698" s="80" t="b">
        <v>0</v>
      </c>
      <c r="F1698" s="80" t="b">
        <v>0</v>
      </c>
      <c r="G1698" s="80" t="b">
        <v>0</v>
      </c>
    </row>
    <row r="1699" spans="1:7" ht="15">
      <c r="A1699" s="81" t="s">
        <v>2404</v>
      </c>
      <c r="B1699" s="80">
        <v>2</v>
      </c>
      <c r="C1699" s="104">
        <v>0.0012431323652750766</v>
      </c>
      <c r="D1699" s="80" t="s">
        <v>2185</v>
      </c>
      <c r="E1699" s="80" t="b">
        <v>0</v>
      </c>
      <c r="F1699" s="80" t="b">
        <v>0</v>
      </c>
      <c r="G1699" s="80" t="b">
        <v>0</v>
      </c>
    </row>
    <row r="1700" spans="1:7" ht="15">
      <c r="A1700" s="81" t="s">
        <v>3143</v>
      </c>
      <c r="B1700" s="80">
        <v>2</v>
      </c>
      <c r="C1700" s="104">
        <v>0.0016258787043265466</v>
      </c>
      <c r="D1700" s="80" t="s">
        <v>2185</v>
      </c>
      <c r="E1700" s="80" t="b">
        <v>0</v>
      </c>
      <c r="F1700" s="80" t="b">
        <v>0</v>
      </c>
      <c r="G1700" s="80" t="b">
        <v>0</v>
      </c>
    </row>
    <row r="1701" spans="1:7" ht="15">
      <c r="A1701" s="81" t="s">
        <v>3144</v>
      </c>
      <c r="B1701" s="80">
        <v>2</v>
      </c>
      <c r="C1701" s="104">
        <v>0.0016258787043265466</v>
      </c>
      <c r="D1701" s="80" t="s">
        <v>2185</v>
      </c>
      <c r="E1701" s="80" t="b">
        <v>0</v>
      </c>
      <c r="F1701" s="80" t="b">
        <v>0</v>
      </c>
      <c r="G1701" s="80" t="b">
        <v>0</v>
      </c>
    </row>
    <row r="1702" spans="1:7" ht="15">
      <c r="A1702" s="81" t="s">
        <v>2299</v>
      </c>
      <c r="B1702" s="80">
        <v>2</v>
      </c>
      <c r="C1702" s="104">
        <v>0.0012431323652750766</v>
      </c>
      <c r="D1702" s="80" t="s">
        <v>2185</v>
      </c>
      <c r="E1702" s="80" t="b">
        <v>0</v>
      </c>
      <c r="F1702" s="80" t="b">
        <v>1</v>
      </c>
      <c r="G1702" s="80" t="b">
        <v>0</v>
      </c>
    </row>
    <row r="1703" spans="1:7" ht="15">
      <c r="A1703" s="81" t="s">
        <v>2841</v>
      </c>
      <c r="B1703" s="80">
        <v>2</v>
      </c>
      <c r="C1703" s="104">
        <v>0.0012431323652750766</v>
      </c>
      <c r="D1703" s="80" t="s">
        <v>2185</v>
      </c>
      <c r="E1703" s="80" t="b">
        <v>0</v>
      </c>
      <c r="F1703" s="80" t="b">
        <v>0</v>
      </c>
      <c r="G1703" s="80" t="b">
        <v>0</v>
      </c>
    </row>
    <row r="1704" spans="1:7" ht="15">
      <c r="A1704" s="81" t="s">
        <v>2306</v>
      </c>
      <c r="B1704" s="80">
        <v>2</v>
      </c>
      <c r="C1704" s="104">
        <v>0.0012431323652750766</v>
      </c>
      <c r="D1704" s="80" t="s">
        <v>2185</v>
      </c>
      <c r="E1704" s="80" t="b">
        <v>0</v>
      </c>
      <c r="F1704" s="80" t="b">
        <v>0</v>
      </c>
      <c r="G1704" s="80" t="b">
        <v>0</v>
      </c>
    </row>
    <row r="1705" spans="1:7" ht="15">
      <c r="A1705" s="81" t="s">
        <v>2904</v>
      </c>
      <c r="B1705" s="80">
        <v>2</v>
      </c>
      <c r="C1705" s="104">
        <v>0.0012431323652750766</v>
      </c>
      <c r="D1705" s="80" t="s">
        <v>2185</v>
      </c>
      <c r="E1705" s="80" t="b">
        <v>0</v>
      </c>
      <c r="F1705" s="80" t="b">
        <v>0</v>
      </c>
      <c r="G1705" s="80" t="b">
        <v>0</v>
      </c>
    </row>
    <row r="1706" spans="1:7" ht="15">
      <c r="A1706" s="81" t="s">
        <v>2238</v>
      </c>
      <c r="B1706" s="80">
        <v>2</v>
      </c>
      <c r="C1706" s="104">
        <v>0.0012431323652750766</v>
      </c>
      <c r="D1706" s="80" t="s">
        <v>2185</v>
      </c>
      <c r="E1706" s="80" t="b">
        <v>0</v>
      </c>
      <c r="F1706" s="80" t="b">
        <v>0</v>
      </c>
      <c r="G1706" s="80" t="b">
        <v>0</v>
      </c>
    </row>
    <row r="1707" spans="1:7" ht="15">
      <c r="A1707" s="81" t="s">
        <v>2898</v>
      </c>
      <c r="B1707" s="80">
        <v>2</v>
      </c>
      <c r="C1707" s="104">
        <v>0.0016258787043265466</v>
      </c>
      <c r="D1707" s="80" t="s">
        <v>2185</v>
      </c>
      <c r="E1707" s="80" t="b">
        <v>0</v>
      </c>
      <c r="F1707" s="80" t="b">
        <v>0</v>
      </c>
      <c r="G1707" s="80" t="b">
        <v>0</v>
      </c>
    </row>
    <row r="1708" spans="1:7" ht="15">
      <c r="A1708" s="81" t="s">
        <v>2571</v>
      </c>
      <c r="B1708" s="80">
        <v>2</v>
      </c>
      <c r="C1708" s="104">
        <v>0.0012431323652750766</v>
      </c>
      <c r="D1708" s="80" t="s">
        <v>2185</v>
      </c>
      <c r="E1708" s="80" t="b">
        <v>0</v>
      </c>
      <c r="F1708" s="80" t="b">
        <v>0</v>
      </c>
      <c r="G1708" s="80" t="b">
        <v>0</v>
      </c>
    </row>
    <row r="1709" spans="1:7" ht="15">
      <c r="A1709" s="81" t="s">
        <v>3222</v>
      </c>
      <c r="B1709" s="80">
        <v>2</v>
      </c>
      <c r="C1709" s="104">
        <v>0.0016258787043265466</v>
      </c>
      <c r="D1709" s="80" t="s">
        <v>2185</v>
      </c>
      <c r="E1709" s="80" t="b">
        <v>0</v>
      </c>
      <c r="F1709" s="80" t="b">
        <v>0</v>
      </c>
      <c r="G1709" s="80" t="b">
        <v>0</v>
      </c>
    </row>
    <row r="1710" spans="1:7" ht="15">
      <c r="A1710" s="81" t="s">
        <v>2595</v>
      </c>
      <c r="B1710" s="80">
        <v>2</v>
      </c>
      <c r="C1710" s="104">
        <v>0.0012431323652750766</v>
      </c>
      <c r="D1710" s="80" t="s">
        <v>2185</v>
      </c>
      <c r="E1710" s="80" t="b">
        <v>0</v>
      </c>
      <c r="F1710" s="80" t="b">
        <v>0</v>
      </c>
      <c r="G1710" s="80" t="b">
        <v>0</v>
      </c>
    </row>
    <row r="1711" spans="1:7" ht="15">
      <c r="A1711" s="81" t="s">
        <v>2421</v>
      </c>
      <c r="B1711" s="80">
        <v>2</v>
      </c>
      <c r="C1711" s="104">
        <v>0.0012431323652750766</v>
      </c>
      <c r="D1711" s="80" t="s">
        <v>2185</v>
      </c>
      <c r="E1711" s="80" t="b">
        <v>0</v>
      </c>
      <c r="F1711" s="80" t="b">
        <v>0</v>
      </c>
      <c r="G1711" s="80" t="b">
        <v>0</v>
      </c>
    </row>
    <row r="1712" spans="1:7" ht="15">
      <c r="A1712" s="81" t="s">
        <v>2375</v>
      </c>
      <c r="B1712" s="80">
        <v>2</v>
      </c>
      <c r="C1712" s="104">
        <v>0.0012431323652750766</v>
      </c>
      <c r="D1712" s="80" t="s">
        <v>2185</v>
      </c>
      <c r="E1712" s="80" t="b">
        <v>0</v>
      </c>
      <c r="F1712" s="80" t="b">
        <v>0</v>
      </c>
      <c r="G1712" s="80" t="b">
        <v>0</v>
      </c>
    </row>
    <row r="1713" spans="1:7" ht="15">
      <c r="A1713" s="81" t="s">
        <v>2323</v>
      </c>
      <c r="B1713" s="80">
        <v>2</v>
      </c>
      <c r="C1713" s="104">
        <v>0.0012431323652750766</v>
      </c>
      <c r="D1713" s="80" t="s">
        <v>2185</v>
      </c>
      <c r="E1713" s="80" t="b">
        <v>0</v>
      </c>
      <c r="F1713" s="80" t="b">
        <v>0</v>
      </c>
      <c r="G1713" s="80" t="b">
        <v>0</v>
      </c>
    </row>
    <row r="1714" spans="1:7" ht="15">
      <c r="A1714" s="81" t="s">
        <v>2530</v>
      </c>
      <c r="B1714" s="80">
        <v>2</v>
      </c>
      <c r="C1714" s="104">
        <v>0.0012431323652750766</v>
      </c>
      <c r="D1714" s="80" t="s">
        <v>2185</v>
      </c>
      <c r="E1714" s="80" t="b">
        <v>0</v>
      </c>
      <c r="F1714" s="80" t="b">
        <v>0</v>
      </c>
      <c r="G1714" s="80" t="b">
        <v>0</v>
      </c>
    </row>
    <row r="1715" spans="1:7" ht="15">
      <c r="A1715" s="81" t="s">
        <v>2409</v>
      </c>
      <c r="B1715" s="80">
        <v>2</v>
      </c>
      <c r="C1715" s="104">
        <v>0.0012431323652750766</v>
      </c>
      <c r="D1715" s="80" t="s">
        <v>2185</v>
      </c>
      <c r="E1715" s="80" t="b">
        <v>0</v>
      </c>
      <c r="F1715" s="80" t="b">
        <v>0</v>
      </c>
      <c r="G1715" s="80" t="b">
        <v>0</v>
      </c>
    </row>
    <row r="1716" spans="1:7" ht="15">
      <c r="A1716" s="81" t="s">
        <v>3113</v>
      </c>
      <c r="B1716" s="80">
        <v>2</v>
      </c>
      <c r="C1716" s="104">
        <v>0.0012431323652750766</v>
      </c>
      <c r="D1716" s="80" t="s">
        <v>2185</v>
      </c>
      <c r="E1716" s="80" t="b">
        <v>0</v>
      </c>
      <c r="F1716" s="80" t="b">
        <v>0</v>
      </c>
      <c r="G1716" s="80" t="b">
        <v>0</v>
      </c>
    </row>
    <row r="1717" spans="1:7" ht="15">
      <c r="A1717" s="81" t="s">
        <v>2892</v>
      </c>
      <c r="B1717" s="80">
        <v>2</v>
      </c>
      <c r="C1717" s="104">
        <v>0.0016258787043265466</v>
      </c>
      <c r="D1717" s="80" t="s">
        <v>2185</v>
      </c>
      <c r="E1717" s="80" t="b">
        <v>0</v>
      </c>
      <c r="F1717" s="80" t="b">
        <v>0</v>
      </c>
      <c r="G1717" s="80" t="b">
        <v>0</v>
      </c>
    </row>
    <row r="1718" spans="1:7" ht="15">
      <c r="A1718" s="81" t="s">
        <v>3179</v>
      </c>
      <c r="B1718" s="80">
        <v>2</v>
      </c>
      <c r="C1718" s="104">
        <v>0.0016258787043265466</v>
      </c>
      <c r="D1718" s="80" t="s">
        <v>2185</v>
      </c>
      <c r="E1718" s="80" t="b">
        <v>0</v>
      </c>
      <c r="F1718" s="80" t="b">
        <v>0</v>
      </c>
      <c r="G1718" s="80" t="b">
        <v>0</v>
      </c>
    </row>
    <row r="1719" spans="1:7" ht="15">
      <c r="A1719" s="81" t="s">
        <v>2235</v>
      </c>
      <c r="B1719" s="80">
        <v>2</v>
      </c>
      <c r="C1719" s="104">
        <v>0.0012431323652750766</v>
      </c>
      <c r="D1719" s="80" t="s">
        <v>2185</v>
      </c>
      <c r="E1719" s="80" t="b">
        <v>0</v>
      </c>
      <c r="F1719" s="80" t="b">
        <v>0</v>
      </c>
      <c r="G1719" s="80" t="b">
        <v>0</v>
      </c>
    </row>
    <row r="1720" spans="1:7" ht="15">
      <c r="A1720" s="81" t="s">
        <v>3052</v>
      </c>
      <c r="B1720" s="80">
        <v>2</v>
      </c>
      <c r="C1720" s="104">
        <v>0.0012431323652750766</v>
      </c>
      <c r="D1720" s="80" t="s">
        <v>2185</v>
      </c>
      <c r="E1720" s="80" t="b">
        <v>0</v>
      </c>
      <c r="F1720" s="80" t="b">
        <v>0</v>
      </c>
      <c r="G1720" s="80" t="b">
        <v>0</v>
      </c>
    </row>
    <row r="1721" spans="1:7" ht="15">
      <c r="A1721" s="81" t="s">
        <v>2312</v>
      </c>
      <c r="B1721" s="80">
        <v>2</v>
      </c>
      <c r="C1721" s="104">
        <v>0.0012431323652750766</v>
      </c>
      <c r="D1721" s="80" t="s">
        <v>2185</v>
      </c>
      <c r="E1721" s="80" t="b">
        <v>0</v>
      </c>
      <c r="F1721" s="80" t="b">
        <v>0</v>
      </c>
      <c r="G1721" s="80" t="b">
        <v>0</v>
      </c>
    </row>
    <row r="1722" spans="1:7" ht="15">
      <c r="A1722" s="81" t="s">
        <v>3340</v>
      </c>
      <c r="B1722" s="80">
        <v>2</v>
      </c>
      <c r="C1722" s="104">
        <v>0.0016258787043265466</v>
      </c>
      <c r="D1722" s="80" t="s">
        <v>2185</v>
      </c>
      <c r="E1722" s="80" t="b">
        <v>0</v>
      </c>
      <c r="F1722" s="80" t="b">
        <v>0</v>
      </c>
      <c r="G1722" s="80" t="b">
        <v>0</v>
      </c>
    </row>
    <row r="1723" spans="1:7" ht="15">
      <c r="A1723" s="81" t="s">
        <v>3341</v>
      </c>
      <c r="B1723" s="80">
        <v>2</v>
      </c>
      <c r="C1723" s="104">
        <v>0.0016258787043265466</v>
      </c>
      <c r="D1723" s="80" t="s">
        <v>2185</v>
      </c>
      <c r="E1723" s="80" t="b">
        <v>0</v>
      </c>
      <c r="F1723" s="80" t="b">
        <v>0</v>
      </c>
      <c r="G1723" s="80" t="b">
        <v>0</v>
      </c>
    </row>
    <row r="1724" spans="1:7" ht="15">
      <c r="A1724" s="81" t="s">
        <v>2535</v>
      </c>
      <c r="B1724" s="80">
        <v>2</v>
      </c>
      <c r="C1724" s="104">
        <v>0.0016258787043265466</v>
      </c>
      <c r="D1724" s="80" t="s">
        <v>2185</v>
      </c>
      <c r="E1724" s="80" t="b">
        <v>0</v>
      </c>
      <c r="F1724" s="80" t="b">
        <v>0</v>
      </c>
      <c r="G1724" s="80" t="b">
        <v>0</v>
      </c>
    </row>
    <row r="1725" spans="1:7" ht="15">
      <c r="A1725" s="81" t="s">
        <v>2689</v>
      </c>
      <c r="B1725" s="80">
        <v>2</v>
      </c>
      <c r="C1725" s="104">
        <v>0.0016258787043265466</v>
      </c>
      <c r="D1725" s="80" t="s">
        <v>2185</v>
      </c>
      <c r="E1725" s="80" t="b">
        <v>0</v>
      </c>
      <c r="F1725" s="80" t="b">
        <v>0</v>
      </c>
      <c r="G1725" s="80" t="b">
        <v>0</v>
      </c>
    </row>
    <row r="1726" spans="1:7" ht="15">
      <c r="A1726" s="81" t="s">
        <v>2464</v>
      </c>
      <c r="B1726" s="80">
        <v>2</v>
      </c>
      <c r="C1726" s="104">
        <v>0.0012431323652750766</v>
      </c>
      <c r="D1726" s="80" t="s">
        <v>2185</v>
      </c>
      <c r="E1726" s="80" t="b">
        <v>0</v>
      </c>
      <c r="F1726" s="80" t="b">
        <v>0</v>
      </c>
      <c r="G1726" s="80" t="b">
        <v>0</v>
      </c>
    </row>
    <row r="1727" spans="1:7" ht="15">
      <c r="A1727" s="81" t="s">
        <v>2313</v>
      </c>
      <c r="B1727" s="80">
        <v>2</v>
      </c>
      <c r="C1727" s="104">
        <v>0.0012431323652750766</v>
      </c>
      <c r="D1727" s="80" t="s">
        <v>2185</v>
      </c>
      <c r="E1727" s="80" t="b">
        <v>0</v>
      </c>
      <c r="F1727" s="80" t="b">
        <v>0</v>
      </c>
      <c r="G1727" s="80" t="b">
        <v>0</v>
      </c>
    </row>
    <row r="1728" spans="1:7" ht="15">
      <c r="A1728" s="81" t="s">
        <v>2285</v>
      </c>
      <c r="B1728" s="80">
        <v>2</v>
      </c>
      <c r="C1728" s="104">
        <v>0.0012431323652750766</v>
      </c>
      <c r="D1728" s="80" t="s">
        <v>2185</v>
      </c>
      <c r="E1728" s="80" t="b">
        <v>0</v>
      </c>
      <c r="F1728" s="80" t="b">
        <v>0</v>
      </c>
      <c r="G1728" s="80" t="b">
        <v>0</v>
      </c>
    </row>
    <row r="1729" spans="1:7" ht="15">
      <c r="A1729" s="81" t="s">
        <v>3325</v>
      </c>
      <c r="B1729" s="80">
        <v>2</v>
      </c>
      <c r="C1729" s="104">
        <v>0.0012431323652750766</v>
      </c>
      <c r="D1729" s="80" t="s">
        <v>2185</v>
      </c>
      <c r="E1729" s="80" t="b">
        <v>0</v>
      </c>
      <c r="F1729" s="80" t="b">
        <v>0</v>
      </c>
      <c r="G1729" s="80" t="b">
        <v>0</v>
      </c>
    </row>
    <row r="1730" spans="1:7" ht="15">
      <c r="A1730" s="81" t="s">
        <v>2328</v>
      </c>
      <c r="B1730" s="80">
        <v>2</v>
      </c>
      <c r="C1730" s="104">
        <v>0.0012431323652750766</v>
      </c>
      <c r="D1730" s="80" t="s">
        <v>2185</v>
      </c>
      <c r="E1730" s="80" t="b">
        <v>0</v>
      </c>
      <c r="F1730" s="80" t="b">
        <v>0</v>
      </c>
      <c r="G1730" s="80" t="b">
        <v>0</v>
      </c>
    </row>
    <row r="1731" spans="1:7" ht="15">
      <c r="A1731" s="81" t="s">
        <v>2396</v>
      </c>
      <c r="B1731" s="80">
        <v>2</v>
      </c>
      <c r="C1731" s="104">
        <v>0.0012431323652750766</v>
      </c>
      <c r="D1731" s="80" t="s">
        <v>2185</v>
      </c>
      <c r="E1731" s="80" t="b">
        <v>0</v>
      </c>
      <c r="F1731" s="80" t="b">
        <v>0</v>
      </c>
      <c r="G1731" s="80" t="b">
        <v>0</v>
      </c>
    </row>
    <row r="1732" spans="1:7" ht="15">
      <c r="A1732" s="81" t="s">
        <v>2302</v>
      </c>
      <c r="B1732" s="80">
        <v>2</v>
      </c>
      <c r="C1732" s="104">
        <v>0.0012431323652750766</v>
      </c>
      <c r="D1732" s="80" t="s">
        <v>2185</v>
      </c>
      <c r="E1732" s="80" t="b">
        <v>0</v>
      </c>
      <c r="F1732" s="80" t="b">
        <v>0</v>
      </c>
      <c r="G1732" s="80" t="b">
        <v>0</v>
      </c>
    </row>
    <row r="1733" spans="1:7" ht="15">
      <c r="A1733" s="81" t="s">
        <v>2315</v>
      </c>
      <c r="B1733" s="80">
        <v>2</v>
      </c>
      <c r="C1733" s="104">
        <v>0.0012431323652750766</v>
      </c>
      <c r="D1733" s="80" t="s">
        <v>2185</v>
      </c>
      <c r="E1733" s="80" t="b">
        <v>0</v>
      </c>
      <c r="F1733" s="80" t="b">
        <v>0</v>
      </c>
      <c r="G1733" s="80" t="b">
        <v>0</v>
      </c>
    </row>
    <row r="1734" spans="1:7" ht="15">
      <c r="A1734" s="81" t="s">
        <v>2796</v>
      </c>
      <c r="B1734" s="80">
        <v>2</v>
      </c>
      <c r="C1734" s="104">
        <v>0.0012431323652750766</v>
      </c>
      <c r="D1734" s="80" t="s">
        <v>2185</v>
      </c>
      <c r="E1734" s="80" t="b">
        <v>0</v>
      </c>
      <c r="F1734" s="80" t="b">
        <v>0</v>
      </c>
      <c r="G1734" s="80" t="b">
        <v>0</v>
      </c>
    </row>
    <row r="1735" spans="1:7" ht="15">
      <c r="A1735" s="81" t="s">
        <v>2670</v>
      </c>
      <c r="B1735" s="80">
        <v>2</v>
      </c>
      <c r="C1735" s="104">
        <v>0.0012431323652750766</v>
      </c>
      <c r="D1735" s="80" t="s">
        <v>2185</v>
      </c>
      <c r="E1735" s="80" t="b">
        <v>0</v>
      </c>
      <c r="F1735" s="80" t="b">
        <v>0</v>
      </c>
      <c r="G1735" s="80" t="b">
        <v>0</v>
      </c>
    </row>
    <row r="1736" spans="1:7" ht="15">
      <c r="A1736" s="81" t="s">
        <v>2894</v>
      </c>
      <c r="B1736" s="80">
        <v>2</v>
      </c>
      <c r="C1736" s="104">
        <v>0.0012431323652750766</v>
      </c>
      <c r="D1736" s="80" t="s">
        <v>2185</v>
      </c>
      <c r="E1736" s="80" t="b">
        <v>0</v>
      </c>
      <c r="F1736" s="80" t="b">
        <v>0</v>
      </c>
      <c r="G1736" s="80" t="b">
        <v>0</v>
      </c>
    </row>
    <row r="1737" spans="1:7" ht="15">
      <c r="A1737" s="81" t="s">
        <v>2941</v>
      </c>
      <c r="B1737" s="80">
        <v>2</v>
      </c>
      <c r="C1737" s="104">
        <v>0.0016258787043265466</v>
      </c>
      <c r="D1737" s="80" t="s">
        <v>2185</v>
      </c>
      <c r="E1737" s="80" t="b">
        <v>0</v>
      </c>
      <c r="F1737" s="80" t="b">
        <v>0</v>
      </c>
      <c r="G1737" s="80" t="b">
        <v>0</v>
      </c>
    </row>
    <row r="1738" spans="1:7" ht="15">
      <c r="A1738" s="81" t="s">
        <v>3331</v>
      </c>
      <c r="B1738" s="80">
        <v>2</v>
      </c>
      <c r="C1738" s="104">
        <v>0.0012431323652750766</v>
      </c>
      <c r="D1738" s="80" t="s">
        <v>2185</v>
      </c>
      <c r="E1738" s="80" t="b">
        <v>0</v>
      </c>
      <c r="F1738" s="80" t="b">
        <v>0</v>
      </c>
      <c r="G1738" s="80" t="b">
        <v>0</v>
      </c>
    </row>
    <row r="1739" spans="1:7" ht="15">
      <c r="A1739" s="81" t="s">
        <v>2480</v>
      </c>
      <c r="B1739" s="80">
        <v>2</v>
      </c>
      <c r="C1739" s="104">
        <v>0.0016258787043265466</v>
      </c>
      <c r="D1739" s="80" t="s">
        <v>2185</v>
      </c>
      <c r="E1739" s="80" t="b">
        <v>0</v>
      </c>
      <c r="F1739" s="80" t="b">
        <v>0</v>
      </c>
      <c r="G1739" s="80" t="b">
        <v>0</v>
      </c>
    </row>
    <row r="1740" spans="1:7" ht="15">
      <c r="A1740" s="81" t="s">
        <v>3204</v>
      </c>
      <c r="B1740" s="80">
        <v>2</v>
      </c>
      <c r="C1740" s="104">
        <v>0.0012431323652750766</v>
      </c>
      <c r="D1740" s="80" t="s">
        <v>2185</v>
      </c>
      <c r="E1740" s="80" t="b">
        <v>0</v>
      </c>
      <c r="F1740" s="80" t="b">
        <v>0</v>
      </c>
      <c r="G1740" s="80" t="b">
        <v>0</v>
      </c>
    </row>
    <row r="1741" spans="1:7" ht="15">
      <c r="A1741" s="81" t="s">
        <v>3077</v>
      </c>
      <c r="B1741" s="80">
        <v>2</v>
      </c>
      <c r="C1741" s="104">
        <v>0.0012431323652750766</v>
      </c>
      <c r="D1741" s="80" t="s">
        <v>2185</v>
      </c>
      <c r="E1741" s="80" t="b">
        <v>0</v>
      </c>
      <c r="F1741" s="80" t="b">
        <v>0</v>
      </c>
      <c r="G1741" s="80" t="b">
        <v>0</v>
      </c>
    </row>
    <row r="1742" spans="1:7" ht="15">
      <c r="A1742" s="81" t="s">
        <v>3114</v>
      </c>
      <c r="B1742" s="80">
        <v>2</v>
      </c>
      <c r="C1742" s="104">
        <v>0.0016258787043265466</v>
      </c>
      <c r="D1742" s="80" t="s">
        <v>2185</v>
      </c>
      <c r="E1742" s="80" t="b">
        <v>0</v>
      </c>
      <c r="F1742" s="80" t="b">
        <v>0</v>
      </c>
      <c r="G1742" s="80" t="b">
        <v>0</v>
      </c>
    </row>
    <row r="1743" spans="1:7" ht="15">
      <c r="A1743" s="81" t="s">
        <v>3115</v>
      </c>
      <c r="B1743" s="80">
        <v>2</v>
      </c>
      <c r="C1743" s="104">
        <v>0.0012431323652750766</v>
      </c>
      <c r="D1743" s="80" t="s">
        <v>2185</v>
      </c>
      <c r="E1743" s="80" t="b">
        <v>0</v>
      </c>
      <c r="F1743" s="80" t="b">
        <v>0</v>
      </c>
      <c r="G1743" s="80" t="b">
        <v>0</v>
      </c>
    </row>
    <row r="1744" spans="1:7" ht="15">
      <c r="A1744" s="81" t="s">
        <v>3182</v>
      </c>
      <c r="B1744" s="80">
        <v>2</v>
      </c>
      <c r="C1744" s="104">
        <v>0.0012431323652750766</v>
      </c>
      <c r="D1744" s="80" t="s">
        <v>2185</v>
      </c>
      <c r="E1744" s="80" t="b">
        <v>0</v>
      </c>
      <c r="F1744" s="80" t="b">
        <v>0</v>
      </c>
      <c r="G1744" s="80" t="b">
        <v>0</v>
      </c>
    </row>
    <row r="1745" spans="1:7" ht="15">
      <c r="A1745" s="81" t="s">
        <v>2452</v>
      </c>
      <c r="B1745" s="80">
        <v>2</v>
      </c>
      <c r="C1745" s="104">
        <v>0.0012431323652750766</v>
      </c>
      <c r="D1745" s="80" t="s">
        <v>2185</v>
      </c>
      <c r="E1745" s="80" t="b">
        <v>0</v>
      </c>
      <c r="F1745" s="80" t="b">
        <v>0</v>
      </c>
      <c r="G1745" s="80" t="b">
        <v>0</v>
      </c>
    </row>
    <row r="1746" spans="1:7" ht="15">
      <c r="A1746" s="81" t="s">
        <v>2790</v>
      </c>
      <c r="B1746" s="80">
        <v>2</v>
      </c>
      <c r="C1746" s="104">
        <v>0.0012431323652750766</v>
      </c>
      <c r="D1746" s="80" t="s">
        <v>2185</v>
      </c>
      <c r="E1746" s="80" t="b">
        <v>0</v>
      </c>
      <c r="F1746" s="80" t="b">
        <v>0</v>
      </c>
      <c r="G1746" s="80" t="b">
        <v>0</v>
      </c>
    </row>
    <row r="1747" spans="1:7" ht="15">
      <c r="A1747" s="81" t="s">
        <v>2985</v>
      </c>
      <c r="B1747" s="80">
        <v>2</v>
      </c>
      <c r="C1747" s="104">
        <v>0.0012431323652750766</v>
      </c>
      <c r="D1747" s="80" t="s">
        <v>2185</v>
      </c>
      <c r="E1747" s="80" t="b">
        <v>0</v>
      </c>
      <c r="F1747" s="80" t="b">
        <v>0</v>
      </c>
      <c r="G1747" s="80" t="b">
        <v>0</v>
      </c>
    </row>
    <row r="1748" spans="1:7" ht="15">
      <c r="A1748" s="81" t="s">
        <v>2217</v>
      </c>
      <c r="B1748" s="80">
        <v>16</v>
      </c>
      <c r="C1748" s="104">
        <v>0.0027459062990835155</v>
      </c>
      <c r="D1748" s="80" t="s">
        <v>2186</v>
      </c>
      <c r="E1748" s="80" t="b">
        <v>0</v>
      </c>
      <c r="F1748" s="80" t="b">
        <v>0</v>
      </c>
      <c r="G1748" s="80" t="b">
        <v>0</v>
      </c>
    </row>
    <row r="1749" spans="1:7" ht="15">
      <c r="A1749" s="81" t="s">
        <v>2213</v>
      </c>
      <c r="B1749" s="80">
        <v>16</v>
      </c>
      <c r="C1749" s="104">
        <v>0.0009909519818581103</v>
      </c>
      <c r="D1749" s="80" t="s">
        <v>2186</v>
      </c>
      <c r="E1749" s="80" t="b">
        <v>0</v>
      </c>
      <c r="F1749" s="80" t="b">
        <v>0</v>
      </c>
      <c r="G1749" s="80" t="b">
        <v>0</v>
      </c>
    </row>
    <row r="1750" spans="1:7" ht="15">
      <c r="A1750" s="81" t="s">
        <v>2218</v>
      </c>
      <c r="B1750" s="80">
        <v>15</v>
      </c>
      <c r="C1750" s="104">
        <v>0.0036987150684237766</v>
      </c>
      <c r="D1750" s="80" t="s">
        <v>2186</v>
      </c>
      <c r="E1750" s="80" t="b">
        <v>0</v>
      </c>
      <c r="F1750" s="80" t="b">
        <v>0</v>
      </c>
      <c r="G1750" s="80" t="b">
        <v>0</v>
      </c>
    </row>
    <row r="1751" spans="1:7" ht="15">
      <c r="A1751" s="81" t="s">
        <v>2215</v>
      </c>
      <c r="B1751" s="80">
        <v>15</v>
      </c>
      <c r="C1751" s="104">
        <v>0.0036987150684237766</v>
      </c>
      <c r="D1751" s="80" t="s">
        <v>2186</v>
      </c>
      <c r="E1751" s="80" t="b">
        <v>0</v>
      </c>
      <c r="F1751" s="80" t="b">
        <v>0</v>
      </c>
      <c r="G1751" s="80" t="b">
        <v>0</v>
      </c>
    </row>
    <row r="1752" spans="1:7" ht="15">
      <c r="A1752" s="81" t="s">
        <v>2214</v>
      </c>
      <c r="B1752" s="80">
        <v>14</v>
      </c>
      <c r="C1752" s="104">
        <v>0.001201334005849038</v>
      </c>
      <c r="D1752" s="80" t="s">
        <v>2186</v>
      </c>
      <c r="E1752" s="80" t="b">
        <v>0</v>
      </c>
      <c r="F1752" s="80" t="b">
        <v>0</v>
      </c>
      <c r="G1752" s="80" t="b">
        <v>0</v>
      </c>
    </row>
    <row r="1753" spans="1:7" ht="15">
      <c r="A1753" s="81" t="s">
        <v>2216</v>
      </c>
      <c r="B1753" s="80">
        <v>14</v>
      </c>
      <c r="C1753" s="104">
        <v>0.003452134063862192</v>
      </c>
      <c r="D1753" s="80" t="s">
        <v>2186</v>
      </c>
      <c r="E1753" s="80" t="b">
        <v>0</v>
      </c>
      <c r="F1753" s="80" t="b">
        <v>0</v>
      </c>
      <c r="G1753" s="80" t="b">
        <v>0</v>
      </c>
    </row>
    <row r="1754" spans="1:7" ht="15">
      <c r="A1754" s="81" t="s">
        <v>2238</v>
      </c>
      <c r="B1754" s="80">
        <v>13</v>
      </c>
      <c r="C1754" s="104">
        <v>0.0032055530593006064</v>
      </c>
      <c r="D1754" s="80" t="s">
        <v>2186</v>
      </c>
      <c r="E1754" s="80" t="b">
        <v>0</v>
      </c>
      <c r="F1754" s="80" t="b">
        <v>0</v>
      </c>
      <c r="G1754" s="80" t="b">
        <v>0</v>
      </c>
    </row>
    <row r="1755" spans="1:7" ht="15">
      <c r="A1755" s="81" t="s">
        <v>2237</v>
      </c>
      <c r="B1755" s="80">
        <v>12</v>
      </c>
      <c r="C1755" s="104">
        <v>0.004962032895560129</v>
      </c>
      <c r="D1755" s="80" t="s">
        <v>2186</v>
      </c>
      <c r="E1755" s="80" t="b">
        <v>0</v>
      </c>
      <c r="F1755" s="80" t="b">
        <v>0</v>
      </c>
      <c r="G1755" s="80" t="b">
        <v>0</v>
      </c>
    </row>
    <row r="1756" spans="1:7" ht="15">
      <c r="A1756" s="81" t="s">
        <v>2235</v>
      </c>
      <c r="B1756" s="80">
        <v>12</v>
      </c>
      <c r="C1756" s="104">
        <v>0.004962032895560129</v>
      </c>
      <c r="D1756" s="80" t="s">
        <v>2186</v>
      </c>
      <c r="E1756" s="80" t="b">
        <v>0</v>
      </c>
      <c r="F1756" s="80" t="b">
        <v>0</v>
      </c>
      <c r="G1756" s="80" t="b">
        <v>0</v>
      </c>
    </row>
    <row r="1757" spans="1:7" ht="15">
      <c r="A1757" s="81" t="s">
        <v>2226</v>
      </c>
      <c r="B1757" s="80">
        <v>10</v>
      </c>
      <c r="C1757" s="104">
        <v>0.002465810045615851</v>
      </c>
      <c r="D1757" s="80" t="s">
        <v>2186</v>
      </c>
      <c r="E1757" s="80" t="b">
        <v>0</v>
      </c>
      <c r="F1757" s="80" t="b">
        <v>0</v>
      </c>
      <c r="G1757" s="80" t="b">
        <v>0</v>
      </c>
    </row>
    <row r="1758" spans="1:7" ht="15">
      <c r="A1758" s="81" t="s">
        <v>2234</v>
      </c>
      <c r="B1758" s="80">
        <v>10</v>
      </c>
      <c r="C1758" s="104">
        <v>0.002465810045615851</v>
      </c>
      <c r="D1758" s="80" t="s">
        <v>2186</v>
      </c>
      <c r="E1758" s="80" t="b">
        <v>0</v>
      </c>
      <c r="F1758" s="80" t="b">
        <v>0</v>
      </c>
      <c r="G1758" s="80" t="b">
        <v>0</v>
      </c>
    </row>
    <row r="1759" spans="1:7" ht="15">
      <c r="A1759" s="81" t="s">
        <v>2230</v>
      </c>
      <c r="B1759" s="80">
        <v>9</v>
      </c>
      <c r="C1759" s="104">
        <v>0.002633048482452287</v>
      </c>
      <c r="D1759" s="80" t="s">
        <v>2186</v>
      </c>
      <c r="E1759" s="80" t="b">
        <v>0</v>
      </c>
      <c r="F1759" s="80" t="b">
        <v>0</v>
      </c>
      <c r="G1759" s="80" t="b">
        <v>0</v>
      </c>
    </row>
    <row r="1760" spans="1:7" ht="15">
      <c r="A1760" s="81" t="s">
        <v>2276</v>
      </c>
      <c r="B1760" s="80">
        <v>9</v>
      </c>
      <c r="C1760" s="104">
        <v>0.0044938108182873355</v>
      </c>
      <c r="D1760" s="80" t="s">
        <v>2186</v>
      </c>
      <c r="E1760" s="80" t="b">
        <v>0</v>
      </c>
      <c r="F1760" s="80" t="b">
        <v>0</v>
      </c>
      <c r="G1760" s="80" t="b">
        <v>0</v>
      </c>
    </row>
    <row r="1761" spans="1:7" ht="15">
      <c r="A1761" s="81" t="s">
        <v>2239</v>
      </c>
      <c r="B1761" s="80">
        <v>9</v>
      </c>
      <c r="C1761" s="104">
        <v>0.003721524671670097</v>
      </c>
      <c r="D1761" s="80" t="s">
        <v>2186</v>
      </c>
      <c r="E1761" s="80" t="b">
        <v>0</v>
      </c>
      <c r="F1761" s="80" t="b">
        <v>0</v>
      </c>
      <c r="G1761" s="80" t="b">
        <v>0</v>
      </c>
    </row>
    <row r="1762" spans="1:7" ht="15">
      <c r="A1762" s="81" t="s">
        <v>2270</v>
      </c>
      <c r="B1762" s="80">
        <v>9</v>
      </c>
      <c r="C1762" s="104">
        <v>0.002219229041054266</v>
      </c>
      <c r="D1762" s="80" t="s">
        <v>2186</v>
      </c>
      <c r="E1762" s="80" t="b">
        <v>0</v>
      </c>
      <c r="F1762" s="80" t="b">
        <v>0</v>
      </c>
      <c r="G1762" s="80" t="b">
        <v>0</v>
      </c>
    </row>
    <row r="1763" spans="1:7" ht="15">
      <c r="A1763" s="81" t="s">
        <v>2321</v>
      </c>
      <c r="B1763" s="80">
        <v>9</v>
      </c>
      <c r="C1763" s="104">
        <v>0.003122492997856562</v>
      </c>
      <c r="D1763" s="80" t="s">
        <v>2186</v>
      </c>
      <c r="E1763" s="80" t="b">
        <v>0</v>
      </c>
      <c r="F1763" s="80" t="b">
        <v>0</v>
      </c>
      <c r="G1763" s="80" t="b">
        <v>0</v>
      </c>
    </row>
    <row r="1764" spans="1:7" ht="15">
      <c r="A1764" s="81" t="s">
        <v>2221</v>
      </c>
      <c r="B1764" s="80">
        <v>8</v>
      </c>
      <c r="C1764" s="104">
        <v>0.001972648036492681</v>
      </c>
      <c r="D1764" s="80" t="s">
        <v>2186</v>
      </c>
      <c r="E1764" s="80" t="b">
        <v>0</v>
      </c>
      <c r="F1764" s="80" t="b">
        <v>0</v>
      </c>
      <c r="G1764" s="80" t="b">
        <v>0</v>
      </c>
    </row>
    <row r="1765" spans="1:7" ht="15">
      <c r="A1765" s="81" t="s">
        <v>2225</v>
      </c>
      <c r="B1765" s="80">
        <v>8</v>
      </c>
      <c r="C1765" s="104">
        <v>0.00165401096518671</v>
      </c>
      <c r="D1765" s="80" t="s">
        <v>2186</v>
      </c>
      <c r="E1765" s="80" t="b">
        <v>0</v>
      </c>
      <c r="F1765" s="80" t="b">
        <v>0</v>
      </c>
      <c r="G1765" s="80" t="b">
        <v>0</v>
      </c>
    </row>
    <row r="1766" spans="1:7" ht="15">
      <c r="A1766" s="81" t="s">
        <v>2250</v>
      </c>
      <c r="B1766" s="80">
        <v>8</v>
      </c>
      <c r="C1766" s="104">
        <v>0.00330802193037342</v>
      </c>
      <c r="D1766" s="80" t="s">
        <v>2186</v>
      </c>
      <c r="E1766" s="80" t="b">
        <v>0</v>
      </c>
      <c r="F1766" s="80" t="b">
        <v>0</v>
      </c>
      <c r="G1766" s="80" t="b">
        <v>0</v>
      </c>
    </row>
    <row r="1767" spans="1:7" ht="15">
      <c r="A1767" s="81" t="s">
        <v>2229</v>
      </c>
      <c r="B1767" s="80">
        <v>8</v>
      </c>
      <c r="C1767" s="104">
        <v>0.00330802193037342</v>
      </c>
      <c r="D1767" s="80" t="s">
        <v>2186</v>
      </c>
      <c r="E1767" s="80" t="b">
        <v>0</v>
      </c>
      <c r="F1767" s="80" t="b">
        <v>0</v>
      </c>
      <c r="G1767" s="80" t="b">
        <v>0</v>
      </c>
    </row>
    <row r="1768" spans="1:7" ht="15">
      <c r="A1768" s="81" t="s">
        <v>2240</v>
      </c>
      <c r="B1768" s="80">
        <v>8</v>
      </c>
      <c r="C1768" s="104">
        <v>0.00165401096518671</v>
      </c>
      <c r="D1768" s="80" t="s">
        <v>2186</v>
      </c>
      <c r="E1768" s="80" t="b">
        <v>0</v>
      </c>
      <c r="F1768" s="80" t="b">
        <v>0</v>
      </c>
      <c r="G1768" s="80" t="b">
        <v>0</v>
      </c>
    </row>
    <row r="1769" spans="1:7" ht="15">
      <c r="A1769" s="81" t="s">
        <v>2320</v>
      </c>
      <c r="B1769" s="80">
        <v>8</v>
      </c>
      <c r="C1769" s="104">
        <v>0.004962032895560129</v>
      </c>
      <c r="D1769" s="80" t="s">
        <v>2186</v>
      </c>
      <c r="E1769" s="80" t="b">
        <v>0</v>
      </c>
      <c r="F1769" s="80" t="b">
        <v>0</v>
      </c>
      <c r="G1769" s="80" t="b">
        <v>0</v>
      </c>
    </row>
    <row r="1770" spans="1:7" ht="15">
      <c r="A1770" s="81" t="s">
        <v>2224</v>
      </c>
      <c r="B1770" s="80">
        <v>8</v>
      </c>
      <c r="C1770" s="104">
        <v>0.00165401096518671</v>
      </c>
      <c r="D1770" s="80" t="s">
        <v>2186</v>
      </c>
      <c r="E1770" s="80" t="b">
        <v>0</v>
      </c>
      <c r="F1770" s="80" t="b">
        <v>0</v>
      </c>
      <c r="G1770" s="80" t="b">
        <v>0</v>
      </c>
    </row>
    <row r="1771" spans="1:7" ht="15">
      <c r="A1771" s="81" t="s">
        <v>2222</v>
      </c>
      <c r="B1771" s="80">
        <v>8</v>
      </c>
      <c r="C1771" s="104">
        <v>0.00165401096518671</v>
      </c>
      <c r="D1771" s="80" t="s">
        <v>2186</v>
      </c>
      <c r="E1771" s="80" t="b">
        <v>0</v>
      </c>
      <c r="F1771" s="80" t="b">
        <v>0</v>
      </c>
      <c r="G1771" s="80" t="b">
        <v>0</v>
      </c>
    </row>
    <row r="1772" spans="1:7" ht="15">
      <c r="A1772" s="81" t="s">
        <v>2265</v>
      </c>
      <c r="B1772" s="80">
        <v>7</v>
      </c>
      <c r="C1772" s="104">
        <v>0.003495186192001261</v>
      </c>
      <c r="D1772" s="80" t="s">
        <v>2186</v>
      </c>
      <c r="E1772" s="80" t="b">
        <v>0</v>
      </c>
      <c r="F1772" s="80" t="b">
        <v>0</v>
      </c>
      <c r="G1772" s="80" t="b">
        <v>0</v>
      </c>
    </row>
    <row r="1773" spans="1:7" ht="15">
      <c r="A1773" s="81" t="s">
        <v>2219</v>
      </c>
      <c r="B1773" s="80">
        <v>7</v>
      </c>
      <c r="C1773" s="104">
        <v>0.0028945191890767425</v>
      </c>
      <c r="D1773" s="80" t="s">
        <v>2186</v>
      </c>
      <c r="E1773" s="80" t="b">
        <v>0</v>
      </c>
      <c r="F1773" s="80" t="b">
        <v>0</v>
      </c>
      <c r="G1773" s="80" t="b">
        <v>0</v>
      </c>
    </row>
    <row r="1774" spans="1:7" ht="15">
      <c r="A1774" s="81" t="s">
        <v>2220</v>
      </c>
      <c r="B1774" s="80">
        <v>7</v>
      </c>
      <c r="C1774" s="104">
        <v>0.00204792659746289</v>
      </c>
      <c r="D1774" s="80" t="s">
        <v>2186</v>
      </c>
      <c r="E1774" s="80" t="b">
        <v>0</v>
      </c>
      <c r="F1774" s="80" t="b">
        <v>0</v>
      </c>
      <c r="G1774" s="80" t="b">
        <v>0</v>
      </c>
    </row>
    <row r="1775" spans="1:7" ht="15">
      <c r="A1775" s="81" t="s">
        <v>2429</v>
      </c>
      <c r="B1775" s="80">
        <v>6</v>
      </c>
      <c r="C1775" s="104">
        <v>0.003721524671670097</v>
      </c>
      <c r="D1775" s="80" t="s">
        <v>2186</v>
      </c>
      <c r="E1775" s="80" t="b">
        <v>0</v>
      </c>
      <c r="F1775" s="80" t="b">
        <v>0</v>
      </c>
      <c r="G1775" s="80" t="b">
        <v>0</v>
      </c>
    </row>
    <row r="1776" spans="1:7" ht="15">
      <c r="A1776" s="81" t="s">
        <v>2431</v>
      </c>
      <c r="B1776" s="80">
        <v>6</v>
      </c>
      <c r="C1776" s="104">
        <v>0.003721524671670097</v>
      </c>
      <c r="D1776" s="80" t="s">
        <v>2186</v>
      </c>
      <c r="E1776" s="80" t="b">
        <v>0</v>
      </c>
      <c r="F1776" s="80" t="b">
        <v>0</v>
      </c>
      <c r="G1776" s="80" t="b">
        <v>0</v>
      </c>
    </row>
    <row r="1777" spans="1:7" ht="15">
      <c r="A1777" s="81" t="s">
        <v>2346</v>
      </c>
      <c r="B1777" s="80">
        <v>6</v>
      </c>
      <c r="C1777" s="104">
        <v>0.003721524671670097</v>
      </c>
      <c r="D1777" s="80" t="s">
        <v>2186</v>
      </c>
      <c r="E1777" s="80" t="b">
        <v>0</v>
      </c>
      <c r="F1777" s="80" t="b">
        <v>0</v>
      </c>
      <c r="G1777" s="80" t="b">
        <v>0</v>
      </c>
    </row>
    <row r="1778" spans="1:7" ht="15">
      <c r="A1778" s="81" t="s">
        <v>2232</v>
      </c>
      <c r="B1778" s="80">
        <v>6</v>
      </c>
      <c r="C1778" s="104">
        <v>0.0024810164477800647</v>
      </c>
      <c r="D1778" s="80" t="s">
        <v>2186</v>
      </c>
      <c r="E1778" s="80" t="b">
        <v>0</v>
      </c>
      <c r="F1778" s="80" t="b">
        <v>0</v>
      </c>
      <c r="G1778" s="80" t="b">
        <v>0</v>
      </c>
    </row>
    <row r="1779" spans="1:7" ht="15">
      <c r="A1779" s="81" t="s">
        <v>2257</v>
      </c>
      <c r="B1779" s="80">
        <v>6</v>
      </c>
      <c r="C1779" s="104">
        <v>0.0024810164477800647</v>
      </c>
      <c r="D1779" s="80" t="s">
        <v>2186</v>
      </c>
      <c r="E1779" s="80" t="b">
        <v>0</v>
      </c>
      <c r="F1779" s="80" t="b">
        <v>0</v>
      </c>
      <c r="G1779" s="80" t="b">
        <v>0</v>
      </c>
    </row>
    <row r="1780" spans="1:7" ht="15">
      <c r="A1780" s="81" t="s">
        <v>2260</v>
      </c>
      <c r="B1780" s="80">
        <v>6</v>
      </c>
      <c r="C1780" s="104">
        <v>0.003721524671670097</v>
      </c>
      <c r="D1780" s="80" t="s">
        <v>2186</v>
      </c>
      <c r="E1780" s="80" t="b">
        <v>0</v>
      </c>
      <c r="F1780" s="80" t="b">
        <v>0</v>
      </c>
      <c r="G1780" s="80" t="b">
        <v>0</v>
      </c>
    </row>
    <row r="1781" spans="1:7" ht="15">
      <c r="A1781" s="81" t="s">
        <v>2242</v>
      </c>
      <c r="B1781" s="80">
        <v>6</v>
      </c>
      <c r="C1781" s="104">
        <v>0.0029958738788582236</v>
      </c>
      <c r="D1781" s="80" t="s">
        <v>2186</v>
      </c>
      <c r="E1781" s="80" t="b">
        <v>0</v>
      </c>
      <c r="F1781" s="80" t="b">
        <v>0</v>
      </c>
      <c r="G1781" s="80" t="b">
        <v>0</v>
      </c>
    </row>
    <row r="1782" spans="1:7" ht="15">
      <c r="A1782" s="81" t="s">
        <v>2359</v>
      </c>
      <c r="B1782" s="80">
        <v>6</v>
      </c>
      <c r="C1782" s="104">
        <v>0.003721524671670097</v>
      </c>
      <c r="D1782" s="80" t="s">
        <v>2186</v>
      </c>
      <c r="E1782" s="80" t="b">
        <v>0</v>
      </c>
      <c r="F1782" s="80" t="b">
        <v>0</v>
      </c>
      <c r="G1782" s="80" t="b">
        <v>0</v>
      </c>
    </row>
    <row r="1783" spans="1:7" ht="15">
      <c r="A1783" s="81" t="s">
        <v>2233</v>
      </c>
      <c r="B1783" s="80">
        <v>6</v>
      </c>
      <c r="C1783" s="104">
        <v>0.0017553656549681915</v>
      </c>
      <c r="D1783" s="80" t="s">
        <v>2186</v>
      </c>
      <c r="E1783" s="80" t="b">
        <v>0</v>
      </c>
      <c r="F1783" s="80" t="b">
        <v>0</v>
      </c>
      <c r="G1783" s="80" t="b">
        <v>0</v>
      </c>
    </row>
    <row r="1784" spans="1:7" ht="15">
      <c r="A1784" s="81" t="s">
        <v>2304</v>
      </c>
      <c r="B1784" s="80">
        <v>5</v>
      </c>
      <c r="C1784" s="104">
        <v>0.0024965615657151865</v>
      </c>
      <c r="D1784" s="80" t="s">
        <v>2186</v>
      </c>
      <c r="E1784" s="80" t="b">
        <v>0</v>
      </c>
      <c r="F1784" s="80" t="b">
        <v>0</v>
      </c>
      <c r="G1784" s="80" t="b">
        <v>0</v>
      </c>
    </row>
    <row r="1785" spans="1:7" ht="15">
      <c r="A1785" s="81" t="s">
        <v>2397</v>
      </c>
      <c r="B1785" s="80">
        <v>5</v>
      </c>
      <c r="C1785" s="104">
        <v>0.0020675137064833874</v>
      </c>
      <c r="D1785" s="80" t="s">
        <v>2186</v>
      </c>
      <c r="E1785" s="80" t="b">
        <v>0</v>
      </c>
      <c r="F1785" s="80" t="b">
        <v>0</v>
      </c>
      <c r="G1785" s="80" t="b">
        <v>0</v>
      </c>
    </row>
    <row r="1786" spans="1:7" ht="15">
      <c r="A1786" s="81" t="s">
        <v>2314</v>
      </c>
      <c r="B1786" s="80">
        <v>5</v>
      </c>
      <c r="C1786" s="104">
        <v>0.0017347183321425345</v>
      </c>
      <c r="D1786" s="80" t="s">
        <v>2186</v>
      </c>
      <c r="E1786" s="80" t="b">
        <v>0</v>
      </c>
      <c r="F1786" s="80" t="b">
        <v>0</v>
      </c>
      <c r="G1786" s="80" t="b">
        <v>0</v>
      </c>
    </row>
    <row r="1787" spans="1:7" ht="15">
      <c r="A1787" s="81" t="s">
        <v>2273</v>
      </c>
      <c r="B1787" s="80">
        <v>5</v>
      </c>
      <c r="C1787" s="104">
        <v>0.0020675137064833874</v>
      </c>
      <c r="D1787" s="80" t="s">
        <v>2186</v>
      </c>
      <c r="E1787" s="80" t="b">
        <v>1</v>
      </c>
      <c r="F1787" s="80" t="b">
        <v>0</v>
      </c>
      <c r="G1787" s="80" t="b">
        <v>0</v>
      </c>
    </row>
    <row r="1788" spans="1:7" ht="15">
      <c r="A1788" s="81" t="s">
        <v>2281</v>
      </c>
      <c r="B1788" s="80">
        <v>5</v>
      </c>
      <c r="C1788" s="104">
        <v>0.0024965615657151865</v>
      </c>
      <c r="D1788" s="80" t="s">
        <v>2186</v>
      </c>
      <c r="E1788" s="80" t="b">
        <v>0</v>
      </c>
      <c r="F1788" s="80" t="b">
        <v>0</v>
      </c>
      <c r="G1788" s="80" t="b">
        <v>0</v>
      </c>
    </row>
    <row r="1789" spans="1:7" ht="15">
      <c r="A1789" s="81" t="s">
        <v>2358</v>
      </c>
      <c r="B1789" s="80">
        <v>5</v>
      </c>
      <c r="C1789" s="104">
        <v>0.0031012705597250807</v>
      </c>
      <c r="D1789" s="80" t="s">
        <v>2186</v>
      </c>
      <c r="E1789" s="80" t="b">
        <v>0</v>
      </c>
      <c r="F1789" s="80" t="b">
        <v>0</v>
      </c>
      <c r="G1789" s="80" t="b">
        <v>0</v>
      </c>
    </row>
    <row r="1790" spans="1:7" ht="15">
      <c r="A1790" s="81" t="s">
        <v>2241</v>
      </c>
      <c r="B1790" s="80">
        <v>5</v>
      </c>
      <c r="C1790" s="104">
        <v>0.0017347183321425345</v>
      </c>
      <c r="D1790" s="80" t="s">
        <v>2186</v>
      </c>
      <c r="E1790" s="80" t="b">
        <v>0</v>
      </c>
      <c r="F1790" s="80" t="b">
        <v>0</v>
      </c>
      <c r="G1790" s="80" t="b">
        <v>0</v>
      </c>
    </row>
    <row r="1791" spans="1:7" ht="15">
      <c r="A1791" s="81" t="s">
        <v>2251</v>
      </c>
      <c r="B1791" s="80">
        <v>5</v>
      </c>
      <c r="C1791" s="104">
        <v>0.0020675137064833874</v>
      </c>
      <c r="D1791" s="80" t="s">
        <v>2186</v>
      </c>
      <c r="E1791" s="80" t="b">
        <v>0</v>
      </c>
      <c r="F1791" s="80" t="b">
        <v>0</v>
      </c>
      <c r="G1791" s="80" t="b">
        <v>0</v>
      </c>
    </row>
    <row r="1792" spans="1:7" ht="15">
      <c r="A1792" s="81" t="s">
        <v>2269</v>
      </c>
      <c r="B1792" s="80">
        <v>5</v>
      </c>
      <c r="C1792" s="104">
        <v>0.0020675137064833874</v>
      </c>
      <c r="D1792" s="80" t="s">
        <v>2186</v>
      </c>
      <c r="E1792" s="80" t="b">
        <v>0</v>
      </c>
      <c r="F1792" s="80" t="b">
        <v>0</v>
      </c>
      <c r="G1792" s="80" t="b">
        <v>0</v>
      </c>
    </row>
    <row r="1793" spans="1:7" ht="15">
      <c r="A1793" s="81" t="s">
        <v>2263</v>
      </c>
      <c r="B1793" s="80">
        <v>5</v>
      </c>
      <c r="C1793" s="104">
        <v>0.0020675137064833874</v>
      </c>
      <c r="D1793" s="80" t="s">
        <v>2186</v>
      </c>
      <c r="E1793" s="80" t="b">
        <v>0</v>
      </c>
      <c r="F1793" s="80" t="b">
        <v>0</v>
      </c>
      <c r="G1793" s="80" t="b">
        <v>0</v>
      </c>
    </row>
    <row r="1794" spans="1:7" ht="15">
      <c r="A1794" s="81" t="s">
        <v>2271</v>
      </c>
      <c r="B1794" s="80">
        <v>5</v>
      </c>
      <c r="C1794" s="104">
        <v>0.0017347183321425345</v>
      </c>
      <c r="D1794" s="80" t="s">
        <v>2186</v>
      </c>
      <c r="E1794" s="80" t="b">
        <v>0</v>
      </c>
      <c r="F1794" s="80" t="b">
        <v>0</v>
      </c>
      <c r="G1794" s="80" t="b">
        <v>0</v>
      </c>
    </row>
    <row r="1795" spans="1:7" ht="15">
      <c r="A1795" s="81" t="s">
        <v>2344</v>
      </c>
      <c r="B1795" s="80">
        <v>5</v>
      </c>
      <c r="C1795" s="104">
        <v>0.004135027412966775</v>
      </c>
      <c r="D1795" s="80" t="s">
        <v>2186</v>
      </c>
      <c r="E1795" s="80" t="b">
        <v>0</v>
      </c>
      <c r="F1795" s="80" t="b">
        <v>0</v>
      </c>
      <c r="G1795" s="80" t="b">
        <v>0</v>
      </c>
    </row>
    <row r="1796" spans="1:7" ht="15">
      <c r="A1796" s="81" t="s">
        <v>2246</v>
      </c>
      <c r="B1796" s="80">
        <v>5</v>
      </c>
      <c r="C1796" s="104">
        <v>0.0024965615657151865</v>
      </c>
      <c r="D1796" s="80" t="s">
        <v>2186</v>
      </c>
      <c r="E1796" s="80" t="b">
        <v>0</v>
      </c>
      <c r="F1796" s="80" t="b">
        <v>0</v>
      </c>
      <c r="G1796" s="80" t="b">
        <v>0</v>
      </c>
    </row>
    <row r="1797" spans="1:7" ht="15">
      <c r="A1797" s="81" t="s">
        <v>2363</v>
      </c>
      <c r="B1797" s="80">
        <v>5</v>
      </c>
      <c r="C1797" s="104">
        <v>0.004135027412966775</v>
      </c>
      <c r="D1797" s="80" t="s">
        <v>2186</v>
      </c>
      <c r="E1797" s="80" t="b">
        <v>0</v>
      </c>
      <c r="F1797" s="80" t="b">
        <v>0</v>
      </c>
      <c r="G1797" s="80" t="b">
        <v>0</v>
      </c>
    </row>
    <row r="1798" spans="1:7" ht="15">
      <c r="A1798" s="81" t="s">
        <v>2394</v>
      </c>
      <c r="B1798" s="80">
        <v>5</v>
      </c>
      <c r="C1798" s="104">
        <v>0.0017347183321425345</v>
      </c>
      <c r="D1798" s="80" t="s">
        <v>2186</v>
      </c>
      <c r="E1798" s="80" t="b">
        <v>0</v>
      </c>
      <c r="F1798" s="80" t="b">
        <v>0</v>
      </c>
      <c r="G1798" s="80" t="b">
        <v>0</v>
      </c>
    </row>
    <row r="1799" spans="1:7" ht="15">
      <c r="A1799" s="81" t="s">
        <v>2296</v>
      </c>
      <c r="B1799" s="80">
        <v>5</v>
      </c>
      <c r="C1799" s="104">
        <v>0.0020675137064833874</v>
      </c>
      <c r="D1799" s="80" t="s">
        <v>2186</v>
      </c>
      <c r="E1799" s="80" t="b">
        <v>0</v>
      </c>
      <c r="F1799" s="80" t="b">
        <v>0</v>
      </c>
      <c r="G1799" s="80" t="b">
        <v>0</v>
      </c>
    </row>
    <row r="1800" spans="1:7" ht="15">
      <c r="A1800" s="81" t="s">
        <v>2258</v>
      </c>
      <c r="B1800" s="80">
        <v>4</v>
      </c>
      <c r="C1800" s="104">
        <v>0.0019972492525721494</v>
      </c>
      <c r="D1800" s="80" t="s">
        <v>2186</v>
      </c>
      <c r="E1800" s="80" t="b">
        <v>0</v>
      </c>
      <c r="F1800" s="80" t="b">
        <v>0</v>
      </c>
      <c r="G1800" s="80" t="b">
        <v>0</v>
      </c>
    </row>
    <row r="1801" spans="1:7" ht="15">
      <c r="A1801" s="81" t="s">
        <v>2255</v>
      </c>
      <c r="B1801" s="80">
        <v>4</v>
      </c>
      <c r="C1801" s="104">
        <v>0.0024810164477800647</v>
      </c>
      <c r="D1801" s="80" t="s">
        <v>2186</v>
      </c>
      <c r="E1801" s="80" t="b">
        <v>1</v>
      </c>
      <c r="F1801" s="80" t="b">
        <v>0</v>
      </c>
      <c r="G1801" s="80" t="b">
        <v>0</v>
      </c>
    </row>
    <row r="1802" spans="1:7" ht="15">
      <c r="A1802" s="81" t="s">
        <v>2283</v>
      </c>
      <c r="B1802" s="80">
        <v>4</v>
      </c>
      <c r="C1802" s="104">
        <v>0.0024810164477800647</v>
      </c>
      <c r="D1802" s="80" t="s">
        <v>2186</v>
      </c>
      <c r="E1802" s="80" t="b">
        <v>0</v>
      </c>
      <c r="F1802" s="80" t="b">
        <v>0</v>
      </c>
      <c r="G1802" s="80" t="b">
        <v>0</v>
      </c>
    </row>
    <row r="1803" spans="1:7" ht="15">
      <c r="A1803" s="81" t="s">
        <v>2675</v>
      </c>
      <c r="B1803" s="80">
        <v>4</v>
      </c>
      <c r="C1803" s="104">
        <v>0.00330802193037342</v>
      </c>
      <c r="D1803" s="80" t="s">
        <v>2186</v>
      </c>
      <c r="E1803" s="80" t="b">
        <v>0</v>
      </c>
      <c r="F1803" s="80" t="b">
        <v>0</v>
      </c>
      <c r="G1803" s="80" t="b">
        <v>0</v>
      </c>
    </row>
    <row r="1804" spans="1:7" ht="15">
      <c r="A1804" s="81" t="s">
        <v>2317</v>
      </c>
      <c r="B1804" s="80">
        <v>4</v>
      </c>
      <c r="C1804" s="104">
        <v>0.00165401096518671</v>
      </c>
      <c r="D1804" s="80" t="s">
        <v>2186</v>
      </c>
      <c r="E1804" s="80" t="b">
        <v>0</v>
      </c>
      <c r="F1804" s="80" t="b">
        <v>0</v>
      </c>
      <c r="G1804" s="80" t="b">
        <v>0</v>
      </c>
    </row>
    <row r="1805" spans="1:7" ht="15">
      <c r="A1805" s="81" t="s">
        <v>2244</v>
      </c>
      <c r="B1805" s="80">
        <v>4</v>
      </c>
      <c r="C1805" s="104">
        <v>0.00165401096518671</v>
      </c>
      <c r="D1805" s="80" t="s">
        <v>2186</v>
      </c>
      <c r="E1805" s="80" t="b">
        <v>0</v>
      </c>
      <c r="F1805" s="80" t="b">
        <v>0</v>
      </c>
      <c r="G1805" s="80" t="b">
        <v>0</v>
      </c>
    </row>
    <row r="1806" spans="1:7" ht="15">
      <c r="A1806" s="81" t="s">
        <v>2272</v>
      </c>
      <c r="B1806" s="80">
        <v>4</v>
      </c>
      <c r="C1806" s="104">
        <v>0.0024810164477800647</v>
      </c>
      <c r="D1806" s="80" t="s">
        <v>2186</v>
      </c>
      <c r="E1806" s="80" t="b">
        <v>0</v>
      </c>
      <c r="F1806" s="80" t="b">
        <v>0</v>
      </c>
      <c r="G1806" s="80" t="b">
        <v>0</v>
      </c>
    </row>
    <row r="1807" spans="1:7" ht="15">
      <c r="A1807" s="81" t="s">
        <v>2294</v>
      </c>
      <c r="B1807" s="80">
        <v>4</v>
      </c>
      <c r="C1807" s="104">
        <v>0.00165401096518671</v>
      </c>
      <c r="D1807" s="80" t="s">
        <v>2186</v>
      </c>
      <c r="E1807" s="80" t="b">
        <v>0</v>
      </c>
      <c r="F1807" s="80" t="b">
        <v>0</v>
      </c>
      <c r="G1807" s="80" t="b">
        <v>0</v>
      </c>
    </row>
    <row r="1808" spans="1:7" ht="15">
      <c r="A1808" s="81" t="s">
        <v>2366</v>
      </c>
      <c r="B1808" s="80">
        <v>4</v>
      </c>
      <c r="C1808" s="104">
        <v>0.00165401096518671</v>
      </c>
      <c r="D1808" s="80" t="s">
        <v>2186</v>
      </c>
      <c r="E1808" s="80" t="b">
        <v>0</v>
      </c>
      <c r="F1808" s="80" t="b">
        <v>0</v>
      </c>
      <c r="G1808" s="80" t="b">
        <v>0</v>
      </c>
    </row>
    <row r="1809" spans="1:7" ht="15">
      <c r="A1809" s="81" t="s">
        <v>2381</v>
      </c>
      <c r="B1809" s="80">
        <v>4</v>
      </c>
      <c r="C1809" s="104">
        <v>0.0024810164477800647</v>
      </c>
      <c r="D1809" s="80" t="s">
        <v>2186</v>
      </c>
      <c r="E1809" s="80" t="b">
        <v>0</v>
      </c>
      <c r="F1809" s="80" t="b">
        <v>0</v>
      </c>
      <c r="G1809" s="80" t="b">
        <v>0</v>
      </c>
    </row>
    <row r="1810" spans="1:7" ht="15">
      <c r="A1810" s="81" t="s">
        <v>2268</v>
      </c>
      <c r="B1810" s="80">
        <v>4</v>
      </c>
      <c r="C1810" s="104">
        <v>0.00165401096518671</v>
      </c>
      <c r="D1810" s="80" t="s">
        <v>2186</v>
      </c>
      <c r="E1810" s="80" t="b">
        <v>0</v>
      </c>
      <c r="F1810" s="80" t="b">
        <v>0</v>
      </c>
      <c r="G1810" s="80" t="b">
        <v>0</v>
      </c>
    </row>
    <row r="1811" spans="1:7" ht="15">
      <c r="A1811" s="81" t="s">
        <v>2307</v>
      </c>
      <c r="B1811" s="80">
        <v>4</v>
      </c>
      <c r="C1811" s="104">
        <v>0.00165401096518671</v>
      </c>
      <c r="D1811" s="80" t="s">
        <v>2186</v>
      </c>
      <c r="E1811" s="80" t="b">
        <v>0</v>
      </c>
      <c r="F1811" s="80" t="b">
        <v>0</v>
      </c>
      <c r="G1811" s="80" t="b">
        <v>0</v>
      </c>
    </row>
    <row r="1812" spans="1:7" ht="15">
      <c r="A1812" s="81" t="s">
        <v>2572</v>
      </c>
      <c r="B1812" s="80">
        <v>4</v>
      </c>
      <c r="C1812" s="104">
        <v>0.00330802193037342</v>
      </c>
      <c r="D1812" s="80" t="s">
        <v>2186</v>
      </c>
      <c r="E1812" s="80" t="b">
        <v>0</v>
      </c>
      <c r="F1812" s="80" t="b">
        <v>0</v>
      </c>
      <c r="G1812" s="80" t="b">
        <v>0</v>
      </c>
    </row>
    <row r="1813" spans="1:7" ht="15">
      <c r="A1813" s="81" t="s">
        <v>2231</v>
      </c>
      <c r="B1813" s="80">
        <v>4</v>
      </c>
      <c r="C1813" s="104">
        <v>0.00330802193037342</v>
      </c>
      <c r="D1813" s="80" t="s">
        <v>2186</v>
      </c>
      <c r="E1813" s="80" t="b">
        <v>0</v>
      </c>
      <c r="F1813" s="80" t="b">
        <v>0</v>
      </c>
      <c r="G1813" s="80" t="b">
        <v>0</v>
      </c>
    </row>
    <row r="1814" spans="1:7" ht="15">
      <c r="A1814" s="81" t="s">
        <v>2236</v>
      </c>
      <c r="B1814" s="80">
        <v>4</v>
      </c>
      <c r="C1814" s="104">
        <v>0.0019972492525721494</v>
      </c>
      <c r="D1814" s="80" t="s">
        <v>2186</v>
      </c>
      <c r="E1814" s="80" t="b">
        <v>0</v>
      </c>
      <c r="F1814" s="80" t="b">
        <v>0</v>
      </c>
      <c r="G1814" s="80" t="b">
        <v>0</v>
      </c>
    </row>
    <row r="1815" spans="1:7" ht="15">
      <c r="A1815" s="81" t="s">
        <v>2284</v>
      </c>
      <c r="B1815" s="80">
        <v>4</v>
      </c>
      <c r="C1815" s="104">
        <v>0.0024810164477800647</v>
      </c>
      <c r="D1815" s="80" t="s">
        <v>2186</v>
      </c>
      <c r="E1815" s="80" t="b">
        <v>0</v>
      </c>
      <c r="F1815" s="80" t="b">
        <v>0</v>
      </c>
      <c r="G1815" s="80" t="b">
        <v>0</v>
      </c>
    </row>
    <row r="1816" spans="1:7" ht="15">
      <c r="A1816" s="81" t="s">
        <v>2228</v>
      </c>
      <c r="B1816" s="80">
        <v>4</v>
      </c>
      <c r="C1816" s="104">
        <v>0.00165401096518671</v>
      </c>
      <c r="D1816" s="80" t="s">
        <v>2186</v>
      </c>
      <c r="E1816" s="80" t="b">
        <v>0</v>
      </c>
      <c r="F1816" s="80" t="b">
        <v>0</v>
      </c>
      <c r="G1816" s="80" t="b">
        <v>0</v>
      </c>
    </row>
    <row r="1817" spans="1:7" ht="15">
      <c r="A1817" s="81" t="s">
        <v>2457</v>
      </c>
      <c r="B1817" s="80">
        <v>4</v>
      </c>
      <c r="C1817" s="104">
        <v>0.0024810164477800647</v>
      </c>
      <c r="D1817" s="80" t="s">
        <v>2186</v>
      </c>
      <c r="E1817" s="80" t="b">
        <v>0</v>
      </c>
      <c r="F1817" s="80" t="b">
        <v>0</v>
      </c>
      <c r="G1817" s="80" t="b">
        <v>0</v>
      </c>
    </row>
    <row r="1818" spans="1:7" ht="15">
      <c r="A1818" s="81" t="s">
        <v>2412</v>
      </c>
      <c r="B1818" s="80">
        <v>4</v>
      </c>
      <c r="C1818" s="104">
        <v>0.0024810164477800647</v>
      </c>
      <c r="D1818" s="80" t="s">
        <v>2186</v>
      </c>
      <c r="E1818" s="80" t="b">
        <v>0</v>
      </c>
      <c r="F1818" s="80" t="b">
        <v>0</v>
      </c>
      <c r="G1818" s="80" t="b">
        <v>0</v>
      </c>
    </row>
    <row r="1819" spans="1:7" ht="15">
      <c r="A1819" s="81" t="s">
        <v>2442</v>
      </c>
      <c r="B1819" s="80">
        <v>4</v>
      </c>
      <c r="C1819" s="104">
        <v>0.00165401096518671</v>
      </c>
      <c r="D1819" s="80" t="s">
        <v>2186</v>
      </c>
      <c r="E1819" s="80" t="b">
        <v>1</v>
      </c>
      <c r="F1819" s="80" t="b">
        <v>0</v>
      </c>
      <c r="G1819" s="80" t="b">
        <v>0</v>
      </c>
    </row>
    <row r="1820" spans="1:7" ht="15">
      <c r="A1820" s="81" t="s">
        <v>2243</v>
      </c>
      <c r="B1820" s="80">
        <v>4</v>
      </c>
      <c r="C1820" s="104">
        <v>0.0019972492525721494</v>
      </c>
      <c r="D1820" s="80" t="s">
        <v>2186</v>
      </c>
      <c r="E1820" s="80" t="b">
        <v>0</v>
      </c>
      <c r="F1820" s="80" t="b">
        <v>0</v>
      </c>
      <c r="G1820" s="80" t="b">
        <v>0</v>
      </c>
    </row>
    <row r="1821" spans="1:7" ht="15">
      <c r="A1821" s="81" t="s">
        <v>2253</v>
      </c>
      <c r="B1821" s="80">
        <v>4</v>
      </c>
      <c r="C1821" s="104">
        <v>0.0024810164477800647</v>
      </c>
      <c r="D1821" s="80" t="s">
        <v>2186</v>
      </c>
      <c r="E1821" s="80" t="b">
        <v>0</v>
      </c>
      <c r="F1821" s="80" t="b">
        <v>0</v>
      </c>
      <c r="G1821" s="80" t="b">
        <v>0</v>
      </c>
    </row>
    <row r="1822" spans="1:7" ht="15">
      <c r="A1822" s="81" t="s">
        <v>2261</v>
      </c>
      <c r="B1822" s="80">
        <v>4</v>
      </c>
      <c r="C1822" s="104">
        <v>0.00165401096518671</v>
      </c>
      <c r="D1822" s="80" t="s">
        <v>2186</v>
      </c>
      <c r="E1822" s="80" t="b">
        <v>1</v>
      </c>
      <c r="F1822" s="80" t="b">
        <v>0</v>
      </c>
      <c r="G1822" s="80" t="b">
        <v>0</v>
      </c>
    </row>
    <row r="1823" spans="1:7" ht="15">
      <c r="A1823" s="81" t="s">
        <v>2393</v>
      </c>
      <c r="B1823" s="80">
        <v>3</v>
      </c>
      <c r="C1823" s="104">
        <v>0.0014979369394291118</v>
      </c>
      <c r="D1823" s="80" t="s">
        <v>2186</v>
      </c>
      <c r="E1823" s="80" t="b">
        <v>0</v>
      </c>
      <c r="F1823" s="80" t="b">
        <v>0</v>
      </c>
      <c r="G1823" s="80" t="b">
        <v>0</v>
      </c>
    </row>
    <row r="1824" spans="1:7" ht="15">
      <c r="A1824" s="81" t="s">
        <v>2404</v>
      </c>
      <c r="B1824" s="80">
        <v>3</v>
      </c>
      <c r="C1824" s="104">
        <v>0.0014979369394291118</v>
      </c>
      <c r="D1824" s="80" t="s">
        <v>2186</v>
      </c>
      <c r="E1824" s="80" t="b">
        <v>0</v>
      </c>
      <c r="F1824" s="80" t="b">
        <v>0</v>
      </c>
      <c r="G1824" s="80" t="b">
        <v>0</v>
      </c>
    </row>
    <row r="1825" spans="1:7" ht="15">
      <c r="A1825" s="81" t="s">
        <v>2524</v>
      </c>
      <c r="B1825" s="80">
        <v>3</v>
      </c>
      <c r="C1825" s="104">
        <v>0.0014979369394291118</v>
      </c>
      <c r="D1825" s="80" t="s">
        <v>2186</v>
      </c>
      <c r="E1825" s="80" t="b">
        <v>0</v>
      </c>
      <c r="F1825" s="80" t="b">
        <v>0</v>
      </c>
      <c r="G1825" s="80" t="b">
        <v>0</v>
      </c>
    </row>
    <row r="1826" spans="1:7" ht="15">
      <c r="A1826" s="81" t="s">
        <v>2309</v>
      </c>
      <c r="B1826" s="80">
        <v>3</v>
      </c>
      <c r="C1826" s="104">
        <v>0.0014979369394291118</v>
      </c>
      <c r="D1826" s="80" t="s">
        <v>2186</v>
      </c>
      <c r="E1826" s="80" t="b">
        <v>0</v>
      </c>
      <c r="F1826" s="80" t="b">
        <v>0</v>
      </c>
      <c r="G1826" s="80" t="b">
        <v>0</v>
      </c>
    </row>
    <row r="1827" spans="1:7" ht="15">
      <c r="A1827" s="81" t="s">
        <v>2756</v>
      </c>
      <c r="B1827" s="80">
        <v>3</v>
      </c>
      <c r="C1827" s="104">
        <v>0.0024810164477800647</v>
      </c>
      <c r="D1827" s="80" t="s">
        <v>2186</v>
      </c>
      <c r="E1827" s="80" t="b">
        <v>0</v>
      </c>
      <c r="F1827" s="80" t="b">
        <v>0</v>
      </c>
      <c r="G1827" s="80" t="b">
        <v>0</v>
      </c>
    </row>
    <row r="1828" spans="1:7" ht="15">
      <c r="A1828" s="81" t="s">
        <v>2353</v>
      </c>
      <c r="B1828" s="80">
        <v>3</v>
      </c>
      <c r="C1828" s="104">
        <v>0.0014979369394291118</v>
      </c>
      <c r="D1828" s="80" t="s">
        <v>2186</v>
      </c>
      <c r="E1828" s="80" t="b">
        <v>0</v>
      </c>
      <c r="F1828" s="80" t="b">
        <v>0</v>
      </c>
      <c r="G1828" s="80" t="b">
        <v>0</v>
      </c>
    </row>
    <row r="1829" spans="1:7" ht="15">
      <c r="A1829" s="81" t="s">
        <v>2291</v>
      </c>
      <c r="B1829" s="80">
        <v>3</v>
      </c>
      <c r="C1829" s="104">
        <v>0.0014979369394291118</v>
      </c>
      <c r="D1829" s="80" t="s">
        <v>2186</v>
      </c>
      <c r="E1829" s="80" t="b">
        <v>0</v>
      </c>
      <c r="F1829" s="80" t="b">
        <v>0</v>
      </c>
      <c r="G1829" s="80" t="b">
        <v>0</v>
      </c>
    </row>
    <row r="1830" spans="1:7" ht="15">
      <c r="A1830" s="81" t="s">
        <v>2743</v>
      </c>
      <c r="B1830" s="80">
        <v>3</v>
      </c>
      <c r="C1830" s="104">
        <v>0.0024810164477800647</v>
      </c>
      <c r="D1830" s="80" t="s">
        <v>2186</v>
      </c>
      <c r="E1830" s="80" t="b">
        <v>0</v>
      </c>
      <c r="F1830" s="80" t="b">
        <v>0</v>
      </c>
      <c r="G1830" s="80" t="b">
        <v>0</v>
      </c>
    </row>
    <row r="1831" spans="1:7" ht="15">
      <c r="A1831" s="81" t="s">
        <v>2249</v>
      </c>
      <c r="B1831" s="80">
        <v>3</v>
      </c>
      <c r="C1831" s="104">
        <v>0.0018607623358350485</v>
      </c>
      <c r="D1831" s="80" t="s">
        <v>2186</v>
      </c>
      <c r="E1831" s="80" t="b">
        <v>0</v>
      </c>
      <c r="F1831" s="80" t="b">
        <v>0</v>
      </c>
      <c r="G1831" s="80" t="b">
        <v>0</v>
      </c>
    </row>
    <row r="1832" spans="1:7" ht="15">
      <c r="A1832" s="81" t="s">
        <v>2627</v>
      </c>
      <c r="B1832" s="80">
        <v>3</v>
      </c>
      <c r="C1832" s="104">
        <v>0.0024810164477800647</v>
      </c>
      <c r="D1832" s="80" t="s">
        <v>2186</v>
      </c>
      <c r="E1832" s="80" t="b">
        <v>0</v>
      </c>
      <c r="F1832" s="80" t="b">
        <v>0</v>
      </c>
      <c r="G1832" s="80" t="b">
        <v>0</v>
      </c>
    </row>
    <row r="1833" spans="1:7" ht="15">
      <c r="A1833" s="81" t="s">
        <v>2411</v>
      </c>
      <c r="B1833" s="80">
        <v>3</v>
      </c>
      <c r="C1833" s="104">
        <v>0.0018607623358350485</v>
      </c>
      <c r="D1833" s="80" t="s">
        <v>2186</v>
      </c>
      <c r="E1833" s="80" t="b">
        <v>0</v>
      </c>
      <c r="F1833" s="80" t="b">
        <v>0</v>
      </c>
      <c r="G1833" s="80" t="b">
        <v>0</v>
      </c>
    </row>
    <row r="1834" spans="1:7" ht="15">
      <c r="A1834" s="81" t="s">
        <v>2391</v>
      </c>
      <c r="B1834" s="80">
        <v>3</v>
      </c>
      <c r="C1834" s="104">
        <v>0.0018607623358350485</v>
      </c>
      <c r="D1834" s="80" t="s">
        <v>2186</v>
      </c>
      <c r="E1834" s="80" t="b">
        <v>0</v>
      </c>
      <c r="F1834" s="80" t="b">
        <v>0</v>
      </c>
      <c r="G1834" s="80" t="b">
        <v>0</v>
      </c>
    </row>
    <row r="1835" spans="1:7" ht="15">
      <c r="A1835" s="81" t="s">
        <v>2292</v>
      </c>
      <c r="B1835" s="80">
        <v>3</v>
      </c>
      <c r="C1835" s="104">
        <v>0.0014979369394291118</v>
      </c>
      <c r="D1835" s="80" t="s">
        <v>2186</v>
      </c>
      <c r="E1835" s="80" t="b">
        <v>0</v>
      </c>
      <c r="F1835" s="80" t="b">
        <v>0</v>
      </c>
      <c r="G1835" s="80" t="b">
        <v>0</v>
      </c>
    </row>
    <row r="1836" spans="1:7" ht="15">
      <c r="A1836" s="81" t="s">
        <v>2644</v>
      </c>
      <c r="B1836" s="80">
        <v>3</v>
      </c>
      <c r="C1836" s="104">
        <v>0.0018607623358350485</v>
      </c>
      <c r="D1836" s="80" t="s">
        <v>2186</v>
      </c>
      <c r="E1836" s="80" t="b">
        <v>0</v>
      </c>
      <c r="F1836" s="80" t="b">
        <v>0</v>
      </c>
      <c r="G1836" s="80" t="b">
        <v>0</v>
      </c>
    </row>
    <row r="1837" spans="1:7" ht="15">
      <c r="A1837" s="81" t="s">
        <v>2300</v>
      </c>
      <c r="B1837" s="80">
        <v>3</v>
      </c>
      <c r="C1837" s="104">
        <v>0.0014979369394291118</v>
      </c>
      <c r="D1837" s="80" t="s">
        <v>2186</v>
      </c>
      <c r="E1837" s="80" t="b">
        <v>0</v>
      </c>
      <c r="F1837" s="80" t="b">
        <v>0</v>
      </c>
      <c r="G1837" s="80" t="b">
        <v>0</v>
      </c>
    </row>
    <row r="1838" spans="1:7" ht="15">
      <c r="A1838" s="81" t="s">
        <v>2525</v>
      </c>
      <c r="B1838" s="80">
        <v>3</v>
      </c>
      <c r="C1838" s="104">
        <v>0.0024810164477800647</v>
      </c>
      <c r="D1838" s="80" t="s">
        <v>2186</v>
      </c>
      <c r="E1838" s="80" t="b">
        <v>0</v>
      </c>
      <c r="F1838" s="80" t="b">
        <v>0</v>
      </c>
      <c r="G1838" s="80" t="b">
        <v>0</v>
      </c>
    </row>
    <row r="1839" spans="1:7" ht="15">
      <c r="A1839" s="81" t="s">
        <v>2375</v>
      </c>
      <c r="B1839" s="80">
        <v>3</v>
      </c>
      <c r="C1839" s="104">
        <v>0.0018607623358350485</v>
      </c>
      <c r="D1839" s="80" t="s">
        <v>2186</v>
      </c>
      <c r="E1839" s="80" t="b">
        <v>0</v>
      </c>
      <c r="F1839" s="80" t="b">
        <v>0</v>
      </c>
      <c r="G1839" s="80" t="b">
        <v>0</v>
      </c>
    </row>
    <row r="1840" spans="1:7" ht="15">
      <c r="A1840" s="81" t="s">
        <v>2274</v>
      </c>
      <c r="B1840" s="80">
        <v>3</v>
      </c>
      <c r="C1840" s="104">
        <v>0.0014979369394291118</v>
      </c>
      <c r="D1840" s="80" t="s">
        <v>2186</v>
      </c>
      <c r="E1840" s="80" t="b">
        <v>0</v>
      </c>
      <c r="F1840" s="80" t="b">
        <v>0</v>
      </c>
      <c r="G1840" s="80" t="b">
        <v>0</v>
      </c>
    </row>
    <row r="1841" spans="1:7" ht="15">
      <c r="A1841" s="81" t="s">
        <v>2371</v>
      </c>
      <c r="B1841" s="80">
        <v>3</v>
      </c>
      <c r="C1841" s="104">
        <v>0.0014979369394291118</v>
      </c>
      <c r="D1841" s="80" t="s">
        <v>2186</v>
      </c>
      <c r="E1841" s="80" t="b">
        <v>0</v>
      </c>
      <c r="F1841" s="80" t="b">
        <v>0</v>
      </c>
      <c r="G1841" s="80" t="b">
        <v>0</v>
      </c>
    </row>
    <row r="1842" spans="1:7" ht="15">
      <c r="A1842" s="81" t="s">
        <v>2425</v>
      </c>
      <c r="B1842" s="80">
        <v>3</v>
      </c>
      <c r="C1842" s="104">
        <v>0.0014979369394291118</v>
      </c>
      <c r="D1842" s="80" t="s">
        <v>2186</v>
      </c>
      <c r="E1842" s="80" t="b">
        <v>0</v>
      </c>
      <c r="F1842" s="80" t="b">
        <v>0</v>
      </c>
      <c r="G1842" s="80" t="b">
        <v>0</v>
      </c>
    </row>
    <row r="1843" spans="1:7" ht="15">
      <c r="A1843" s="81" t="s">
        <v>2439</v>
      </c>
      <c r="B1843" s="80">
        <v>3</v>
      </c>
      <c r="C1843" s="104">
        <v>0.0014979369394291118</v>
      </c>
      <c r="D1843" s="80" t="s">
        <v>2186</v>
      </c>
      <c r="E1843" s="80" t="b">
        <v>0</v>
      </c>
      <c r="F1843" s="80" t="b">
        <v>0</v>
      </c>
      <c r="G1843" s="80" t="b">
        <v>0</v>
      </c>
    </row>
    <row r="1844" spans="1:7" ht="15">
      <c r="A1844" s="81" t="s">
        <v>2547</v>
      </c>
      <c r="B1844" s="80">
        <v>3</v>
      </c>
      <c r="C1844" s="104">
        <v>0.0014979369394291118</v>
      </c>
      <c r="D1844" s="80" t="s">
        <v>2186</v>
      </c>
      <c r="E1844" s="80" t="b">
        <v>0</v>
      </c>
      <c r="F1844" s="80" t="b">
        <v>0</v>
      </c>
      <c r="G1844" s="80" t="b">
        <v>0</v>
      </c>
    </row>
    <row r="1845" spans="1:7" ht="15">
      <c r="A1845" s="81" t="s">
        <v>2459</v>
      </c>
      <c r="B1845" s="80">
        <v>3</v>
      </c>
      <c r="C1845" s="104">
        <v>0.0014979369394291118</v>
      </c>
      <c r="D1845" s="80" t="s">
        <v>2186</v>
      </c>
      <c r="E1845" s="80" t="b">
        <v>0</v>
      </c>
      <c r="F1845" s="80" t="b">
        <v>0</v>
      </c>
      <c r="G1845" s="80" t="b">
        <v>0</v>
      </c>
    </row>
    <row r="1846" spans="1:7" ht="15">
      <c r="A1846" s="81" t="s">
        <v>2303</v>
      </c>
      <c r="B1846" s="80">
        <v>3</v>
      </c>
      <c r="C1846" s="104">
        <v>0.0014979369394291118</v>
      </c>
      <c r="D1846" s="80" t="s">
        <v>2186</v>
      </c>
      <c r="E1846" s="80" t="b">
        <v>0</v>
      </c>
      <c r="F1846" s="80" t="b">
        <v>0</v>
      </c>
      <c r="G1846" s="80" t="b">
        <v>0</v>
      </c>
    </row>
    <row r="1847" spans="1:7" ht="15">
      <c r="A1847" s="81" t="s">
        <v>2254</v>
      </c>
      <c r="B1847" s="80">
        <v>3</v>
      </c>
      <c r="C1847" s="104">
        <v>0.0014979369394291118</v>
      </c>
      <c r="D1847" s="80" t="s">
        <v>2186</v>
      </c>
      <c r="E1847" s="80" t="b">
        <v>0</v>
      </c>
      <c r="F1847" s="80" t="b">
        <v>0</v>
      </c>
      <c r="G1847" s="80" t="b">
        <v>0</v>
      </c>
    </row>
    <row r="1848" spans="1:7" ht="15">
      <c r="A1848" s="81" t="s">
        <v>2335</v>
      </c>
      <c r="B1848" s="80">
        <v>3</v>
      </c>
      <c r="C1848" s="104">
        <v>0.0018607623358350485</v>
      </c>
      <c r="D1848" s="80" t="s">
        <v>2186</v>
      </c>
      <c r="E1848" s="80" t="b">
        <v>0</v>
      </c>
      <c r="F1848" s="80" t="b">
        <v>0</v>
      </c>
      <c r="G1848" s="80" t="b">
        <v>0</v>
      </c>
    </row>
    <row r="1849" spans="1:7" ht="15">
      <c r="A1849" s="81" t="s">
        <v>2800</v>
      </c>
      <c r="B1849" s="80">
        <v>3</v>
      </c>
      <c r="C1849" s="104">
        <v>0.0024810164477800647</v>
      </c>
      <c r="D1849" s="80" t="s">
        <v>2186</v>
      </c>
      <c r="E1849" s="80" t="b">
        <v>0</v>
      </c>
      <c r="F1849" s="80" t="b">
        <v>0</v>
      </c>
      <c r="G1849" s="80" t="b">
        <v>0</v>
      </c>
    </row>
    <row r="1850" spans="1:7" ht="15">
      <c r="A1850" s="81" t="s">
        <v>2252</v>
      </c>
      <c r="B1850" s="80">
        <v>3</v>
      </c>
      <c r="C1850" s="104">
        <v>0.0014979369394291118</v>
      </c>
      <c r="D1850" s="80" t="s">
        <v>2186</v>
      </c>
      <c r="E1850" s="80" t="b">
        <v>0</v>
      </c>
      <c r="F1850" s="80" t="b">
        <v>0</v>
      </c>
      <c r="G1850" s="80" t="b">
        <v>0</v>
      </c>
    </row>
    <row r="1851" spans="1:7" ht="15">
      <c r="A1851" s="81" t="s">
        <v>2316</v>
      </c>
      <c r="B1851" s="80">
        <v>3</v>
      </c>
      <c r="C1851" s="104">
        <v>0.0018607623358350485</v>
      </c>
      <c r="D1851" s="80" t="s">
        <v>2186</v>
      </c>
      <c r="E1851" s="80" t="b">
        <v>0</v>
      </c>
      <c r="F1851" s="80" t="b">
        <v>0</v>
      </c>
      <c r="G1851" s="80" t="b">
        <v>0</v>
      </c>
    </row>
    <row r="1852" spans="1:7" ht="15">
      <c r="A1852" s="81" t="s">
        <v>2302</v>
      </c>
      <c r="B1852" s="80">
        <v>3</v>
      </c>
      <c r="C1852" s="104">
        <v>0.0014979369394291118</v>
      </c>
      <c r="D1852" s="80" t="s">
        <v>2186</v>
      </c>
      <c r="E1852" s="80" t="b">
        <v>0</v>
      </c>
      <c r="F1852" s="80" t="b">
        <v>0</v>
      </c>
      <c r="G1852" s="80" t="b">
        <v>0</v>
      </c>
    </row>
    <row r="1853" spans="1:7" ht="15">
      <c r="A1853" s="81" t="s">
        <v>2482</v>
      </c>
      <c r="B1853" s="80">
        <v>3</v>
      </c>
      <c r="C1853" s="104">
        <v>0.0024810164477800647</v>
      </c>
      <c r="D1853" s="80" t="s">
        <v>2186</v>
      </c>
      <c r="E1853" s="80" t="b">
        <v>0</v>
      </c>
      <c r="F1853" s="80" t="b">
        <v>0</v>
      </c>
      <c r="G1853" s="80" t="b">
        <v>0</v>
      </c>
    </row>
    <row r="1854" spans="1:7" ht="15">
      <c r="A1854" s="81" t="s">
        <v>2716</v>
      </c>
      <c r="B1854" s="80">
        <v>3</v>
      </c>
      <c r="C1854" s="104">
        <v>0.0024810164477800647</v>
      </c>
      <c r="D1854" s="80" t="s">
        <v>2186</v>
      </c>
      <c r="E1854" s="80" t="b">
        <v>0</v>
      </c>
      <c r="F1854" s="80" t="b">
        <v>0</v>
      </c>
      <c r="G1854" s="80" t="b">
        <v>0</v>
      </c>
    </row>
    <row r="1855" spans="1:7" ht="15">
      <c r="A1855" s="81" t="s">
        <v>2754</v>
      </c>
      <c r="B1855" s="80">
        <v>3</v>
      </c>
      <c r="C1855" s="104">
        <v>0.0018607623358350485</v>
      </c>
      <c r="D1855" s="80" t="s">
        <v>2186</v>
      </c>
      <c r="E1855" s="80" t="b">
        <v>0</v>
      </c>
      <c r="F1855" s="80" t="b">
        <v>0</v>
      </c>
      <c r="G1855" s="80" t="b">
        <v>0</v>
      </c>
    </row>
    <row r="1856" spans="1:7" ht="15">
      <c r="A1856" s="81" t="s">
        <v>2329</v>
      </c>
      <c r="B1856" s="80">
        <v>3</v>
      </c>
      <c r="C1856" s="104">
        <v>0.0018607623358350485</v>
      </c>
      <c r="D1856" s="80" t="s">
        <v>2186</v>
      </c>
      <c r="E1856" s="80" t="b">
        <v>0</v>
      </c>
      <c r="F1856" s="80" t="b">
        <v>0</v>
      </c>
      <c r="G1856" s="80" t="b">
        <v>0</v>
      </c>
    </row>
    <row r="1857" spans="1:7" ht="15">
      <c r="A1857" s="81" t="s">
        <v>2727</v>
      </c>
      <c r="B1857" s="80">
        <v>3</v>
      </c>
      <c r="C1857" s="104">
        <v>0.0014979369394291118</v>
      </c>
      <c r="D1857" s="80" t="s">
        <v>2186</v>
      </c>
      <c r="E1857" s="80" t="b">
        <v>0</v>
      </c>
      <c r="F1857" s="80" t="b">
        <v>0</v>
      </c>
      <c r="G1857" s="80" t="b">
        <v>0</v>
      </c>
    </row>
    <row r="1858" spans="1:7" ht="15">
      <c r="A1858" s="81" t="s">
        <v>2744</v>
      </c>
      <c r="B1858" s="80">
        <v>3</v>
      </c>
      <c r="C1858" s="104">
        <v>0.0018607623358350485</v>
      </c>
      <c r="D1858" s="80" t="s">
        <v>2186</v>
      </c>
      <c r="E1858" s="80" t="b">
        <v>0</v>
      </c>
      <c r="F1858" s="80" t="b">
        <v>0</v>
      </c>
      <c r="G1858" s="80" t="b">
        <v>0</v>
      </c>
    </row>
    <row r="1859" spans="1:7" ht="15">
      <c r="A1859" s="81" t="s">
        <v>2424</v>
      </c>
      <c r="B1859" s="80">
        <v>3</v>
      </c>
      <c r="C1859" s="104">
        <v>0.0024810164477800647</v>
      </c>
      <c r="D1859" s="80" t="s">
        <v>2186</v>
      </c>
      <c r="E1859" s="80" t="b">
        <v>0</v>
      </c>
      <c r="F1859" s="80" t="b">
        <v>0</v>
      </c>
      <c r="G1859" s="80" t="b">
        <v>0</v>
      </c>
    </row>
    <row r="1860" spans="1:7" ht="15">
      <c r="A1860" s="81" t="s">
        <v>2417</v>
      </c>
      <c r="B1860" s="80">
        <v>3</v>
      </c>
      <c r="C1860" s="104">
        <v>0.0014979369394291118</v>
      </c>
      <c r="D1860" s="80" t="s">
        <v>2186</v>
      </c>
      <c r="E1860" s="80" t="b">
        <v>0</v>
      </c>
      <c r="F1860" s="80" t="b">
        <v>0</v>
      </c>
      <c r="G1860" s="80" t="b">
        <v>0</v>
      </c>
    </row>
    <row r="1861" spans="1:7" ht="15">
      <c r="A1861" s="81" t="s">
        <v>2392</v>
      </c>
      <c r="B1861" s="80">
        <v>3</v>
      </c>
      <c r="C1861" s="104">
        <v>0.0018607623358350485</v>
      </c>
      <c r="D1861" s="80" t="s">
        <v>2186</v>
      </c>
      <c r="E1861" s="80" t="b">
        <v>0</v>
      </c>
      <c r="F1861" s="80" t="b">
        <v>0</v>
      </c>
      <c r="G1861" s="80" t="b">
        <v>0</v>
      </c>
    </row>
    <row r="1862" spans="1:7" ht="15">
      <c r="A1862" s="81" t="s">
        <v>2473</v>
      </c>
      <c r="B1862" s="80">
        <v>3</v>
      </c>
      <c r="C1862" s="104">
        <v>0.0014979369394291118</v>
      </c>
      <c r="D1862" s="80" t="s">
        <v>2186</v>
      </c>
      <c r="E1862" s="80" t="b">
        <v>0</v>
      </c>
      <c r="F1862" s="80" t="b">
        <v>0</v>
      </c>
      <c r="G1862" s="80" t="b">
        <v>0</v>
      </c>
    </row>
    <row r="1863" spans="1:7" ht="15">
      <c r="A1863" s="81" t="s">
        <v>2622</v>
      </c>
      <c r="B1863" s="80">
        <v>3</v>
      </c>
      <c r="C1863" s="104">
        <v>0.0018607623358350485</v>
      </c>
      <c r="D1863" s="80" t="s">
        <v>2186</v>
      </c>
      <c r="E1863" s="80" t="b">
        <v>0</v>
      </c>
      <c r="F1863" s="80" t="b">
        <v>0</v>
      </c>
      <c r="G1863" s="80" t="b">
        <v>0</v>
      </c>
    </row>
    <row r="1864" spans="1:7" ht="15">
      <c r="A1864" s="81" t="s">
        <v>2559</v>
      </c>
      <c r="B1864" s="80">
        <v>3</v>
      </c>
      <c r="C1864" s="104">
        <v>0.0014979369394291118</v>
      </c>
      <c r="D1864" s="80" t="s">
        <v>2186</v>
      </c>
      <c r="E1864" s="80" t="b">
        <v>0</v>
      </c>
      <c r="F1864" s="80" t="b">
        <v>0</v>
      </c>
      <c r="G1864" s="80" t="b">
        <v>0</v>
      </c>
    </row>
    <row r="1865" spans="1:7" ht="15">
      <c r="A1865" s="81" t="s">
        <v>2636</v>
      </c>
      <c r="B1865" s="80">
        <v>3</v>
      </c>
      <c r="C1865" s="104">
        <v>0.0018607623358350485</v>
      </c>
      <c r="D1865" s="80" t="s">
        <v>2186</v>
      </c>
      <c r="E1865" s="80" t="b">
        <v>0</v>
      </c>
      <c r="F1865" s="80" t="b">
        <v>0</v>
      </c>
      <c r="G1865" s="80" t="b">
        <v>0</v>
      </c>
    </row>
    <row r="1866" spans="1:7" ht="15">
      <c r="A1866" s="81" t="s">
        <v>3323</v>
      </c>
      <c r="B1866" s="80">
        <v>2</v>
      </c>
      <c r="C1866" s="104">
        <v>0.0012405082238900324</v>
      </c>
      <c r="D1866" s="80" t="s">
        <v>2186</v>
      </c>
      <c r="E1866" s="80" t="b">
        <v>0</v>
      </c>
      <c r="F1866" s="80" t="b">
        <v>0</v>
      </c>
      <c r="G1866" s="80" t="b">
        <v>0</v>
      </c>
    </row>
    <row r="1867" spans="1:7" ht="15">
      <c r="A1867" s="81" t="s">
        <v>3178</v>
      </c>
      <c r="B1867" s="80">
        <v>2</v>
      </c>
      <c r="C1867" s="104">
        <v>0.0012405082238900324</v>
      </c>
      <c r="D1867" s="80" t="s">
        <v>2186</v>
      </c>
      <c r="E1867" s="80" t="b">
        <v>0</v>
      </c>
      <c r="F1867" s="80" t="b">
        <v>0</v>
      </c>
      <c r="G1867" s="80" t="b">
        <v>0</v>
      </c>
    </row>
    <row r="1868" spans="1:7" ht="15">
      <c r="A1868" s="81" t="s">
        <v>2489</v>
      </c>
      <c r="B1868" s="80">
        <v>2</v>
      </c>
      <c r="C1868" s="104">
        <v>0.0012405082238900324</v>
      </c>
      <c r="D1868" s="80" t="s">
        <v>2186</v>
      </c>
      <c r="E1868" s="80" t="b">
        <v>0</v>
      </c>
      <c r="F1868" s="80" t="b">
        <v>0</v>
      </c>
      <c r="G1868" s="80" t="b">
        <v>0</v>
      </c>
    </row>
    <row r="1869" spans="1:7" ht="15">
      <c r="A1869" s="81" t="s">
        <v>2601</v>
      </c>
      <c r="B1869" s="80">
        <v>2</v>
      </c>
      <c r="C1869" s="104">
        <v>0.0012405082238900324</v>
      </c>
      <c r="D1869" s="80" t="s">
        <v>2186</v>
      </c>
      <c r="E1869" s="80" t="b">
        <v>0</v>
      </c>
      <c r="F1869" s="80" t="b">
        <v>0</v>
      </c>
      <c r="G1869" s="80" t="b">
        <v>0</v>
      </c>
    </row>
    <row r="1870" spans="1:7" ht="15">
      <c r="A1870" s="81" t="s">
        <v>2816</v>
      </c>
      <c r="B1870" s="80">
        <v>2</v>
      </c>
      <c r="C1870" s="104">
        <v>0.00165401096518671</v>
      </c>
      <c r="D1870" s="80" t="s">
        <v>2186</v>
      </c>
      <c r="E1870" s="80" t="b">
        <v>0</v>
      </c>
      <c r="F1870" s="80" t="b">
        <v>0</v>
      </c>
      <c r="G1870" s="80" t="b">
        <v>0</v>
      </c>
    </row>
    <row r="1871" spans="1:7" ht="15">
      <c r="A1871" s="81" t="s">
        <v>2646</v>
      </c>
      <c r="B1871" s="80">
        <v>2</v>
      </c>
      <c r="C1871" s="104">
        <v>0.0012405082238900324</v>
      </c>
      <c r="D1871" s="80" t="s">
        <v>2186</v>
      </c>
      <c r="E1871" s="80" t="b">
        <v>0</v>
      </c>
      <c r="F1871" s="80" t="b">
        <v>0</v>
      </c>
      <c r="G1871" s="80" t="b">
        <v>0</v>
      </c>
    </row>
    <row r="1872" spans="1:7" ht="15">
      <c r="A1872" s="81" t="s">
        <v>2633</v>
      </c>
      <c r="B1872" s="80">
        <v>2</v>
      </c>
      <c r="C1872" s="104">
        <v>0.0012405082238900324</v>
      </c>
      <c r="D1872" s="80" t="s">
        <v>2186</v>
      </c>
      <c r="E1872" s="80" t="b">
        <v>0</v>
      </c>
      <c r="F1872" s="80" t="b">
        <v>0</v>
      </c>
      <c r="G1872" s="80" t="b">
        <v>0</v>
      </c>
    </row>
    <row r="1873" spans="1:7" ht="15">
      <c r="A1873" s="81" t="s">
        <v>3028</v>
      </c>
      <c r="B1873" s="80">
        <v>2</v>
      </c>
      <c r="C1873" s="104">
        <v>0.00165401096518671</v>
      </c>
      <c r="D1873" s="80" t="s">
        <v>2186</v>
      </c>
      <c r="E1873" s="80" t="b">
        <v>0</v>
      </c>
      <c r="F1873" s="80" t="b">
        <v>0</v>
      </c>
      <c r="G1873" s="80" t="b">
        <v>0</v>
      </c>
    </row>
    <row r="1874" spans="1:7" ht="15">
      <c r="A1874" s="81" t="s">
        <v>3068</v>
      </c>
      <c r="B1874" s="80">
        <v>2</v>
      </c>
      <c r="C1874" s="104">
        <v>0.00165401096518671</v>
      </c>
      <c r="D1874" s="80" t="s">
        <v>2186</v>
      </c>
      <c r="E1874" s="80" t="b">
        <v>0</v>
      </c>
      <c r="F1874" s="80" t="b">
        <v>0</v>
      </c>
      <c r="G1874" s="80" t="b">
        <v>0</v>
      </c>
    </row>
    <row r="1875" spans="1:7" ht="15">
      <c r="A1875" s="81" t="s">
        <v>2451</v>
      </c>
      <c r="B1875" s="80">
        <v>2</v>
      </c>
      <c r="C1875" s="104">
        <v>0.0012405082238900324</v>
      </c>
      <c r="D1875" s="80" t="s">
        <v>2186</v>
      </c>
      <c r="E1875" s="80" t="b">
        <v>0</v>
      </c>
      <c r="F1875" s="80" t="b">
        <v>0</v>
      </c>
      <c r="G1875" s="80" t="b">
        <v>0</v>
      </c>
    </row>
    <row r="1876" spans="1:7" ht="15">
      <c r="A1876" s="81" t="s">
        <v>3231</v>
      </c>
      <c r="B1876" s="80">
        <v>2</v>
      </c>
      <c r="C1876" s="104">
        <v>0.0012405082238900324</v>
      </c>
      <c r="D1876" s="80" t="s">
        <v>2186</v>
      </c>
      <c r="E1876" s="80" t="b">
        <v>0</v>
      </c>
      <c r="F1876" s="80" t="b">
        <v>0</v>
      </c>
      <c r="G1876" s="80" t="b">
        <v>0</v>
      </c>
    </row>
    <row r="1877" spans="1:7" ht="15">
      <c r="A1877" s="81" t="s">
        <v>2630</v>
      </c>
      <c r="B1877" s="80">
        <v>2</v>
      </c>
      <c r="C1877" s="104">
        <v>0.0012405082238900324</v>
      </c>
      <c r="D1877" s="80" t="s">
        <v>2186</v>
      </c>
      <c r="E1877" s="80" t="b">
        <v>0</v>
      </c>
      <c r="F1877" s="80" t="b">
        <v>0</v>
      </c>
      <c r="G1877" s="80" t="b">
        <v>0</v>
      </c>
    </row>
    <row r="1878" spans="1:7" ht="15">
      <c r="A1878" s="81" t="s">
        <v>2556</v>
      </c>
      <c r="B1878" s="80">
        <v>2</v>
      </c>
      <c r="C1878" s="104">
        <v>0.0012405082238900324</v>
      </c>
      <c r="D1878" s="80" t="s">
        <v>2186</v>
      </c>
      <c r="E1878" s="80" t="b">
        <v>0</v>
      </c>
      <c r="F1878" s="80" t="b">
        <v>0</v>
      </c>
      <c r="G1878" s="80" t="b">
        <v>0</v>
      </c>
    </row>
    <row r="1879" spans="1:7" ht="15">
      <c r="A1879" s="81" t="s">
        <v>2766</v>
      </c>
      <c r="B1879" s="80">
        <v>2</v>
      </c>
      <c r="C1879" s="104">
        <v>0.00165401096518671</v>
      </c>
      <c r="D1879" s="80" t="s">
        <v>2186</v>
      </c>
      <c r="E1879" s="80" t="b">
        <v>0</v>
      </c>
      <c r="F1879" s="80" t="b">
        <v>0</v>
      </c>
      <c r="G1879" s="80" t="b">
        <v>0</v>
      </c>
    </row>
    <row r="1880" spans="1:7" ht="15">
      <c r="A1880" s="81" t="s">
        <v>2764</v>
      </c>
      <c r="B1880" s="80">
        <v>2</v>
      </c>
      <c r="C1880" s="104">
        <v>0.0012405082238900324</v>
      </c>
      <c r="D1880" s="80" t="s">
        <v>2186</v>
      </c>
      <c r="E1880" s="80" t="b">
        <v>0</v>
      </c>
      <c r="F1880" s="80" t="b">
        <v>0</v>
      </c>
      <c r="G1880" s="80" t="b">
        <v>0</v>
      </c>
    </row>
    <row r="1881" spans="1:7" ht="15">
      <c r="A1881" s="81" t="s">
        <v>3000</v>
      </c>
      <c r="B1881" s="80">
        <v>2</v>
      </c>
      <c r="C1881" s="104">
        <v>0.0012405082238900324</v>
      </c>
      <c r="D1881" s="80" t="s">
        <v>2186</v>
      </c>
      <c r="E1881" s="80" t="b">
        <v>0</v>
      </c>
      <c r="F1881" s="80" t="b">
        <v>0</v>
      </c>
      <c r="G1881" s="80" t="b">
        <v>0</v>
      </c>
    </row>
    <row r="1882" spans="1:7" ht="15">
      <c r="A1882" s="81" t="s">
        <v>3330</v>
      </c>
      <c r="B1882" s="80">
        <v>2</v>
      </c>
      <c r="C1882" s="104">
        <v>0.00165401096518671</v>
      </c>
      <c r="D1882" s="80" t="s">
        <v>2186</v>
      </c>
      <c r="E1882" s="80" t="b">
        <v>0</v>
      </c>
      <c r="F1882" s="80" t="b">
        <v>0</v>
      </c>
      <c r="G1882" s="80" t="b">
        <v>0</v>
      </c>
    </row>
    <row r="1883" spans="1:7" ht="15">
      <c r="A1883" s="81" t="s">
        <v>2470</v>
      </c>
      <c r="B1883" s="80">
        <v>2</v>
      </c>
      <c r="C1883" s="104">
        <v>0.00165401096518671</v>
      </c>
      <c r="D1883" s="80" t="s">
        <v>2186</v>
      </c>
      <c r="E1883" s="80" t="b">
        <v>0</v>
      </c>
      <c r="F1883" s="80" t="b">
        <v>0</v>
      </c>
      <c r="G1883" s="80" t="b">
        <v>0</v>
      </c>
    </row>
    <row r="1884" spans="1:7" ht="15">
      <c r="A1884" s="81" t="s">
        <v>2287</v>
      </c>
      <c r="B1884" s="80">
        <v>2</v>
      </c>
      <c r="C1884" s="104">
        <v>0.0012405082238900324</v>
      </c>
      <c r="D1884" s="80" t="s">
        <v>2186</v>
      </c>
      <c r="E1884" s="80" t="b">
        <v>0</v>
      </c>
      <c r="F1884" s="80" t="b">
        <v>0</v>
      </c>
      <c r="G1884" s="80" t="b">
        <v>0</v>
      </c>
    </row>
    <row r="1885" spans="1:7" ht="15">
      <c r="A1885" s="81" t="s">
        <v>2444</v>
      </c>
      <c r="B1885" s="80">
        <v>2</v>
      </c>
      <c r="C1885" s="104">
        <v>0.0012405082238900324</v>
      </c>
      <c r="D1885" s="80" t="s">
        <v>2186</v>
      </c>
      <c r="E1885" s="80" t="b">
        <v>0</v>
      </c>
      <c r="F1885" s="80" t="b">
        <v>0</v>
      </c>
      <c r="G1885" s="80" t="b">
        <v>0</v>
      </c>
    </row>
    <row r="1886" spans="1:7" ht="15">
      <c r="A1886" s="81" t="s">
        <v>2886</v>
      </c>
      <c r="B1886" s="80">
        <v>2</v>
      </c>
      <c r="C1886" s="104">
        <v>0.0012405082238900324</v>
      </c>
      <c r="D1886" s="80" t="s">
        <v>2186</v>
      </c>
      <c r="E1886" s="80" t="b">
        <v>1</v>
      </c>
      <c r="F1886" s="80" t="b">
        <v>0</v>
      </c>
      <c r="G1886" s="80" t="b">
        <v>0</v>
      </c>
    </row>
    <row r="1887" spans="1:7" ht="15">
      <c r="A1887" s="81" t="s">
        <v>3345</v>
      </c>
      <c r="B1887" s="80">
        <v>2</v>
      </c>
      <c r="C1887" s="104">
        <v>0.0012405082238900324</v>
      </c>
      <c r="D1887" s="80" t="s">
        <v>2186</v>
      </c>
      <c r="E1887" s="80" t="b">
        <v>0</v>
      </c>
      <c r="F1887" s="80" t="b">
        <v>0</v>
      </c>
      <c r="G1887" s="80" t="b">
        <v>0</v>
      </c>
    </row>
    <row r="1888" spans="1:7" ht="15">
      <c r="A1888" s="81" t="s">
        <v>3353</v>
      </c>
      <c r="B1888" s="80">
        <v>2</v>
      </c>
      <c r="C1888" s="104">
        <v>0.00165401096518671</v>
      </c>
      <c r="D1888" s="80" t="s">
        <v>2186</v>
      </c>
      <c r="E1888" s="80" t="b">
        <v>0</v>
      </c>
      <c r="F1888" s="80" t="b">
        <v>0</v>
      </c>
      <c r="G1888" s="80" t="b">
        <v>0</v>
      </c>
    </row>
    <row r="1889" spans="1:7" ht="15">
      <c r="A1889" s="81" t="s">
        <v>3253</v>
      </c>
      <c r="B1889" s="80">
        <v>2</v>
      </c>
      <c r="C1889" s="104">
        <v>0.0012405082238900324</v>
      </c>
      <c r="D1889" s="80" t="s">
        <v>2186</v>
      </c>
      <c r="E1889" s="80" t="b">
        <v>0</v>
      </c>
      <c r="F1889" s="80" t="b">
        <v>0</v>
      </c>
      <c r="G1889" s="80" t="b">
        <v>0</v>
      </c>
    </row>
    <row r="1890" spans="1:7" ht="15">
      <c r="A1890" s="81" t="s">
        <v>3196</v>
      </c>
      <c r="B1890" s="80">
        <v>2</v>
      </c>
      <c r="C1890" s="104">
        <v>0.0012405082238900324</v>
      </c>
      <c r="D1890" s="80" t="s">
        <v>2186</v>
      </c>
      <c r="E1890" s="80" t="b">
        <v>0</v>
      </c>
      <c r="F1890" s="80" t="b">
        <v>0</v>
      </c>
      <c r="G1890" s="80" t="b">
        <v>0</v>
      </c>
    </row>
    <row r="1891" spans="1:7" ht="15">
      <c r="A1891" s="81" t="s">
        <v>2315</v>
      </c>
      <c r="B1891" s="80">
        <v>2</v>
      </c>
      <c r="C1891" s="104">
        <v>0.0012405082238900324</v>
      </c>
      <c r="D1891" s="80" t="s">
        <v>2186</v>
      </c>
      <c r="E1891" s="80" t="b">
        <v>0</v>
      </c>
      <c r="F1891" s="80" t="b">
        <v>0</v>
      </c>
      <c r="G1891" s="80" t="b">
        <v>0</v>
      </c>
    </row>
    <row r="1892" spans="1:7" ht="15">
      <c r="A1892" s="81" t="s">
        <v>3149</v>
      </c>
      <c r="B1892" s="80">
        <v>2</v>
      </c>
      <c r="C1892" s="104">
        <v>0.0012405082238900324</v>
      </c>
      <c r="D1892" s="80" t="s">
        <v>2186</v>
      </c>
      <c r="E1892" s="80" t="b">
        <v>0</v>
      </c>
      <c r="F1892" s="80" t="b">
        <v>0</v>
      </c>
      <c r="G1892" s="80" t="b">
        <v>0</v>
      </c>
    </row>
    <row r="1893" spans="1:7" ht="15">
      <c r="A1893" s="81" t="s">
        <v>2507</v>
      </c>
      <c r="B1893" s="80">
        <v>2</v>
      </c>
      <c r="C1893" s="104">
        <v>0.0012405082238900324</v>
      </c>
      <c r="D1893" s="80" t="s">
        <v>2186</v>
      </c>
      <c r="E1893" s="80" t="b">
        <v>0</v>
      </c>
      <c r="F1893" s="80" t="b">
        <v>0</v>
      </c>
      <c r="G1893" s="80" t="b">
        <v>0</v>
      </c>
    </row>
    <row r="1894" spans="1:7" ht="15">
      <c r="A1894" s="81" t="s">
        <v>2398</v>
      </c>
      <c r="B1894" s="80">
        <v>2</v>
      </c>
      <c r="C1894" s="104">
        <v>0.00165401096518671</v>
      </c>
      <c r="D1894" s="80" t="s">
        <v>2186</v>
      </c>
      <c r="E1894" s="80" t="b">
        <v>0</v>
      </c>
      <c r="F1894" s="80" t="b">
        <v>0</v>
      </c>
      <c r="G1894" s="80" t="b">
        <v>0</v>
      </c>
    </row>
    <row r="1895" spans="1:7" ht="15">
      <c r="A1895" s="81" t="s">
        <v>2509</v>
      </c>
      <c r="B1895" s="80">
        <v>2</v>
      </c>
      <c r="C1895" s="104">
        <v>0.0012405082238900324</v>
      </c>
      <c r="D1895" s="80" t="s">
        <v>2186</v>
      </c>
      <c r="E1895" s="80" t="b">
        <v>0</v>
      </c>
      <c r="F1895" s="80" t="b">
        <v>0</v>
      </c>
      <c r="G1895" s="80" t="b">
        <v>0</v>
      </c>
    </row>
    <row r="1896" spans="1:7" ht="15">
      <c r="A1896" s="81" t="s">
        <v>3107</v>
      </c>
      <c r="B1896" s="80">
        <v>2</v>
      </c>
      <c r="C1896" s="104">
        <v>0.00165401096518671</v>
      </c>
      <c r="D1896" s="80" t="s">
        <v>2186</v>
      </c>
      <c r="E1896" s="80" t="b">
        <v>0</v>
      </c>
      <c r="F1896" s="80" t="b">
        <v>0</v>
      </c>
      <c r="G1896" s="80" t="b">
        <v>0</v>
      </c>
    </row>
    <row r="1897" spans="1:7" ht="15">
      <c r="A1897" s="81" t="s">
        <v>2575</v>
      </c>
      <c r="B1897" s="80">
        <v>2</v>
      </c>
      <c r="C1897" s="104">
        <v>0.0012405082238900324</v>
      </c>
      <c r="D1897" s="80" t="s">
        <v>2186</v>
      </c>
      <c r="E1897" s="80" t="b">
        <v>0</v>
      </c>
      <c r="F1897" s="80" t="b">
        <v>0</v>
      </c>
      <c r="G1897" s="80" t="b">
        <v>0</v>
      </c>
    </row>
    <row r="1898" spans="1:7" ht="15">
      <c r="A1898" s="81" t="s">
        <v>3165</v>
      </c>
      <c r="B1898" s="80">
        <v>2</v>
      </c>
      <c r="C1898" s="104">
        <v>0.0012405082238900324</v>
      </c>
      <c r="D1898" s="80" t="s">
        <v>2186</v>
      </c>
      <c r="E1898" s="80" t="b">
        <v>0</v>
      </c>
      <c r="F1898" s="80" t="b">
        <v>0</v>
      </c>
      <c r="G1898" s="80" t="b">
        <v>0</v>
      </c>
    </row>
    <row r="1899" spans="1:7" ht="15">
      <c r="A1899" s="81" t="s">
        <v>2285</v>
      </c>
      <c r="B1899" s="80">
        <v>2</v>
      </c>
      <c r="C1899" s="104">
        <v>0.0012405082238900324</v>
      </c>
      <c r="D1899" s="80" t="s">
        <v>2186</v>
      </c>
      <c r="E1899" s="80" t="b">
        <v>0</v>
      </c>
      <c r="F1899" s="80" t="b">
        <v>0</v>
      </c>
      <c r="G1899" s="80" t="b">
        <v>0</v>
      </c>
    </row>
    <row r="1900" spans="1:7" ht="15">
      <c r="A1900" s="81" t="s">
        <v>2629</v>
      </c>
      <c r="B1900" s="80">
        <v>2</v>
      </c>
      <c r="C1900" s="104">
        <v>0.0012405082238900324</v>
      </c>
      <c r="D1900" s="80" t="s">
        <v>2186</v>
      </c>
      <c r="E1900" s="80" t="b">
        <v>0</v>
      </c>
      <c r="F1900" s="80" t="b">
        <v>0</v>
      </c>
      <c r="G1900" s="80" t="b">
        <v>0</v>
      </c>
    </row>
    <row r="1901" spans="1:7" ht="15">
      <c r="A1901" s="81" t="s">
        <v>2491</v>
      </c>
      <c r="B1901" s="80">
        <v>2</v>
      </c>
      <c r="C1901" s="104">
        <v>0.0012405082238900324</v>
      </c>
      <c r="D1901" s="80" t="s">
        <v>2186</v>
      </c>
      <c r="E1901" s="80" t="b">
        <v>0</v>
      </c>
      <c r="F1901" s="80" t="b">
        <v>0</v>
      </c>
      <c r="G1901" s="80" t="b">
        <v>0</v>
      </c>
    </row>
    <row r="1902" spans="1:7" ht="15">
      <c r="A1902" s="81" t="s">
        <v>3057</v>
      </c>
      <c r="B1902" s="80">
        <v>2</v>
      </c>
      <c r="C1902" s="104">
        <v>0.0012405082238900324</v>
      </c>
      <c r="D1902" s="80" t="s">
        <v>2186</v>
      </c>
      <c r="E1902" s="80" t="b">
        <v>0</v>
      </c>
      <c r="F1902" s="80" t="b">
        <v>0</v>
      </c>
      <c r="G1902" s="80" t="b">
        <v>0</v>
      </c>
    </row>
    <row r="1903" spans="1:7" ht="15">
      <c r="A1903" s="81" t="s">
        <v>2661</v>
      </c>
      <c r="B1903" s="80">
        <v>2</v>
      </c>
      <c r="C1903" s="104">
        <v>0.0012405082238900324</v>
      </c>
      <c r="D1903" s="80" t="s">
        <v>2186</v>
      </c>
      <c r="E1903" s="80" t="b">
        <v>0</v>
      </c>
      <c r="F1903" s="80" t="b">
        <v>0</v>
      </c>
      <c r="G1903" s="80" t="b">
        <v>0</v>
      </c>
    </row>
    <row r="1904" spans="1:7" ht="15">
      <c r="A1904" s="81" t="s">
        <v>2673</v>
      </c>
      <c r="B1904" s="80">
        <v>2</v>
      </c>
      <c r="C1904" s="104">
        <v>0.0012405082238900324</v>
      </c>
      <c r="D1904" s="80" t="s">
        <v>2186</v>
      </c>
      <c r="E1904" s="80" t="b">
        <v>0</v>
      </c>
      <c r="F1904" s="80" t="b">
        <v>0</v>
      </c>
      <c r="G1904" s="80" t="b">
        <v>0</v>
      </c>
    </row>
    <row r="1905" spans="1:7" ht="15">
      <c r="A1905" s="81" t="s">
        <v>2930</v>
      </c>
      <c r="B1905" s="80">
        <v>2</v>
      </c>
      <c r="C1905" s="104">
        <v>0.00165401096518671</v>
      </c>
      <c r="D1905" s="80" t="s">
        <v>2186</v>
      </c>
      <c r="E1905" s="80" t="b">
        <v>0</v>
      </c>
      <c r="F1905" s="80" t="b">
        <v>0</v>
      </c>
      <c r="G1905" s="80" t="b">
        <v>0</v>
      </c>
    </row>
    <row r="1906" spans="1:7" ht="15">
      <c r="A1906" s="81" t="s">
        <v>3170</v>
      </c>
      <c r="B1906" s="80">
        <v>2</v>
      </c>
      <c r="C1906" s="104">
        <v>0.00165401096518671</v>
      </c>
      <c r="D1906" s="80" t="s">
        <v>2186</v>
      </c>
      <c r="E1906" s="80" t="b">
        <v>0</v>
      </c>
      <c r="F1906" s="80" t="b">
        <v>0</v>
      </c>
      <c r="G1906" s="80" t="b">
        <v>0</v>
      </c>
    </row>
    <row r="1907" spans="1:7" ht="15">
      <c r="A1907" s="81" t="s">
        <v>2548</v>
      </c>
      <c r="B1907" s="80">
        <v>2</v>
      </c>
      <c r="C1907" s="104">
        <v>0.00165401096518671</v>
      </c>
      <c r="D1907" s="80" t="s">
        <v>2186</v>
      </c>
      <c r="E1907" s="80" t="b">
        <v>0</v>
      </c>
      <c r="F1907" s="80" t="b">
        <v>0</v>
      </c>
      <c r="G1907" s="80" t="b">
        <v>0</v>
      </c>
    </row>
    <row r="1908" spans="1:7" ht="15">
      <c r="A1908" s="81" t="s">
        <v>2688</v>
      </c>
      <c r="B1908" s="80">
        <v>2</v>
      </c>
      <c r="C1908" s="104">
        <v>0.00165401096518671</v>
      </c>
      <c r="D1908" s="80" t="s">
        <v>2186</v>
      </c>
      <c r="E1908" s="80" t="b">
        <v>0</v>
      </c>
      <c r="F1908" s="80" t="b">
        <v>0</v>
      </c>
      <c r="G1908" s="80" t="b">
        <v>0</v>
      </c>
    </row>
    <row r="1909" spans="1:7" ht="15">
      <c r="A1909" s="81" t="s">
        <v>2592</v>
      </c>
      <c r="B1909" s="80">
        <v>2</v>
      </c>
      <c r="C1909" s="104">
        <v>0.0012405082238900324</v>
      </c>
      <c r="D1909" s="80" t="s">
        <v>2186</v>
      </c>
      <c r="E1909" s="80" t="b">
        <v>0</v>
      </c>
      <c r="F1909" s="80" t="b">
        <v>0</v>
      </c>
      <c r="G1909" s="80" t="b">
        <v>0</v>
      </c>
    </row>
    <row r="1910" spans="1:7" ht="15">
      <c r="A1910" s="81" t="s">
        <v>2697</v>
      </c>
      <c r="B1910" s="80">
        <v>2</v>
      </c>
      <c r="C1910" s="104">
        <v>0.00165401096518671</v>
      </c>
      <c r="D1910" s="80" t="s">
        <v>2186</v>
      </c>
      <c r="E1910" s="80" t="b">
        <v>0</v>
      </c>
      <c r="F1910" s="80" t="b">
        <v>0</v>
      </c>
      <c r="G1910" s="80" t="b">
        <v>0</v>
      </c>
    </row>
    <row r="1911" spans="1:7" ht="15">
      <c r="A1911" s="81" t="s">
        <v>2914</v>
      </c>
      <c r="B1911" s="80">
        <v>2</v>
      </c>
      <c r="C1911" s="104">
        <v>0.0012405082238900324</v>
      </c>
      <c r="D1911" s="80" t="s">
        <v>2186</v>
      </c>
      <c r="E1911" s="80" t="b">
        <v>0</v>
      </c>
      <c r="F1911" s="80" t="b">
        <v>0</v>
      </c>
      <c r="G1911" s="80" t="b">
        <v>0</v>
      </c>
    </row>
    <row r="1912" spans="1:7" ht="15">
      <c r="A1912" s="81" t="s">
        <v>2970</v>
      </c>
      <c r="B1912" s="80">
        <v>2</v>
      </c>
      <c r="C1912" s="104">
        <v>0.0012405082238900324</v>
      </c>
      <c r="D1912" s="80" t="s">
        <v>2186</v>
      </c>
      <c r="E1912" s="80" t="b">
        <v>0</v>
      </c>
      <c r="F1912" s="80" t="b">
        <v>0</v>
      </c>
      <c r="G1912" s="80" t="b">
        <v>0</v>
      </c>
    </row>
    <row r="1913" spans="1:7" ht="15">
      <c r="A1913" s="81" t="s">
        <v>2352</v>
      </c>
      <c r="B1913" s="80">
        <v>2</v>
      </c>
      <c r="C1913" s="104">
        <v>0.00165401096518671</v>
      </c>
      <c r="D1913" s="80" t="s">
        <v>2186</v>
      </c>
      <c r="E1913" s="80" t="b">
        <v>0</v>
      </c>
      <c r="F1913" s="80" t="b">
        <v>0</v>
      </c>
      <c r="G1913" s="80" t="b">
        <v>0</v>
      </c>
    </row>
    <row r="1914" spans="1:7" ht="15">
      <c r="A1914" s="81" t="s">
        <v>2372</v>
      </c>
      <c r="B1914" s="80">
        <v>2</v>
      </c>
      <c r="C1914" s="104">
        <v>0.0012405082238900324</v>
      </c>
      <c r="D1914" s="80" t="s">
        <v>2186</v>
      </c>
      <c r="E1914" s="80" t="b">
        <v>0</v>
      </c>
      <c r="F1914" s="80" t="b">
        <v>0</v>
      </c>
      <c r="G1914" s="80" t="b">
        <v>0</v>
      </c>
    </row>
    <row r="1915" spans="1:7" ht="15">
      <c r="A1915" s="81" t="s">
        <v>2308</v>
      </c>
      <c r="B1915" s="80">
        <v>2</v>
      </c>
      <c r="C1915" s="104">
        <v>0.00165401096518671</v>
      </c>
      <c r="D1915" s="80" t="s">
        <v>2186</v>
      </c>
      <c r="E1915" s="80" t="b">
        <v>0</v>
      </c>
      <c r="F1915" s="80" t="b">
        <v>0</v>
      </c>
      <c r="G1915" s="80" t="b">
        <v>0</v>
      </c>
    </row>
    <row r="1916" spans="1:7" ht="15">
      <c r="A1916" s="81" t="s">
        <v>2728</v>
      </c>
      <c r="B1916" s="80">
        <v>2</v>
      </c>
      <c r="C1916" s="104">
        <v>0.0012405082238900324</v>
      </c>
      <c r="D1916" s="80" t="s">
        <v>2186</v>
      </c>
      <c r="E1916" s="80" t="b">
        <v>0</v>
      </c>
      <c r="F1916" s="80" t="b">
        <v>0</v>
      </c>
      <c r="G1916" s="80" t="b">
        <v>0</v>
      </c>
    </row>
    <row r="1917" spans="1:7" ht="15">
      <c r="A1917" s="81" t="s">
        <v>2668</v>
      </c>
      <c r="B1917" s="80">
        <v>2</v>
      </c>
      <c r="C1917" s="104">
        <v>0.0012405082238900324</v>
      </c>
      <c r="D1917" s="80" t="s">
        <v>2186</v>
      </c>
      <c r="E1917" s="80" t="b">
        <v>0</v>
      </c>
      <c r="F1917" s="80" t="b">
        <v>0</v>
      </c>
      <c r="G1917" s="80" t="b">
        <v>0</v>
      </c>
    </row>
    <row r="1918" spans="1:7" ht="15">
      <c r="A1918" s="81" t="s">
        <v>2407</v>
      </c>
      <c r="B1918" s="80">
        <v>2</v>
      </c>
      <c r="C1918" s="104">
        <v>0.0012405082238900324</v>
      </c>
      <c r="D1918" s="80" t="s">
        <v>2186</v>
      </c>
      <c r="E1918" s="80" t="b">
        <v>0</v>
      </c>
      <c r="F1918" s="80" t="b">
        <v>0</v>
      </c>
      <c r="G1918" s="80" t="b">
        <v>0</v>
      </c>
    </row>
    <row r="1919" spans="1:7" ht="15">
      <c r="A1919" s="81" t="s">
        <v>2677</v>
      </c>
      <c r="B1919" s="80">
        <v>2</v>
      </c>
      <c r="C1919" s="104">
        <v>0.00165401096518671</v>
      </c>
      <c r="D1919" s="80" t="s">
        <v>2186</v>
      </c>
      <c r="E1919" s="80" t="b">
        <v>0</v>
      </c>
      <c r="F1919" s="80" t="b">
        <v>0</v>
      </c>
      <c r="G1919" s="80" t="b">
        <v>0</v>
      </c>
    </row>
    <row r="1920" spans="1:7" ht="15">
      <c r="A1920" s="81" t="s">
        <v>3332</v>
      </c>
      <c r="B1920" s="80">
        <v>2</v>
      </c>
      <c r="C1920" s="104">
        <v>0.00165401096518671</v>
      </c>
      <c r="D1920" s="80" t="s">
        <v>2186</v>
      </c>
      <c r="E1920" s="80" t="b">
        <v>0</v>
      </c>
      <c r="F1920" s="80" t="b">
        <v>0</v>
      </c>
      <c r="G1920" s="80" t="b">
        <v>0</v>
      </c>
    </row>
    <row r="1921" spans="1:7" ht="15">
      <c r="A1921" s="81" t="s">
        <v>2695</v>
      </c>
      <c r="B1921" s="80">
        <v>2</v>
      </c>
      <c r="C1921" s="104">
        <v>0.00165401096518671</v>
      </c>
      <c r="D1921" s="80" t="s">
        <v>2186</v>
      </c>
      <c r="E1921" s="80" t="b">
        <v>0</v>
      </c>
      <c r="F1921" s="80" t="b">
        <v>0</v>
      </c>
      <c r="G1921" s="80" t="b">
        <v>0</v>
      </c>
    </row>
    <row r="1922" spans="1:7" ht="15">
      <c r="A1922" s="81" t="s">
        <v>2608</v>
      </c>
      <c r="B1922" s="80">
        <v>2</v>
      </c>
      <c r="C1922" s="104">
        <v>0.0012405082238900324</v>
      </c>
      <c r="D1922" s="80" t="s">
        <v>2186</v>
      </c>
      <c r="E1922" s="80" t="b">
        <v>0</v>
      </c>
      <c r="F1922" s="80" t="b">
        <v>0</v>
      </c>
      <c r="G1922" s="80" t="b">
        <v>0</v>
      </c>
    </row>
    <row r="1923" spans="1:7" ht="15">
      <c r="A1923" s="81" t="s">
        <v>2596</v>
      </c>
      <c r="B1923" s="80">
        <v>2</v>
      </c>
      <c r="C1923" s="104">
        <v>0.00165401096518671</v>
      </c>
      <c r="D1923" s="80" t="s">
        <v>2186</v>
      </c>
      <c r="E1923" s="80" t="b">
        <v>0</v>
      </c>
      <c r="F1923" s="80" t="b">
        <v>0</v>
      </c>
      <c r="G1923" s="80" t="b">
        <v>0</v>
      </c>
    </row>
    <row r="1924" spans="1:7" ht="15">
      <c r="A1924" s="81" t="s">
        <v>3322</v>
      </c>
      <c r="B1924" s="80">
        <v>2</v>
      </c>
      <c r="C1924" s="104">
        <v>0.00165401096518671</v>
      </c>
      <c r="D1924" s="80" t="s">
        <v>2186</v>
      </c>
      <c r="E1924" s="80" t="b">
        <v>0</v>
      </c>
      <c r="F1924" s="80" t="b">
        <v>0</v>
      </c>
      <c r="G1924" s="80" t="b">
        <v>0</v>
      </c>
    </row>
    <row r="1925" spans="1:7" ht="15">
      <c r="A1925" s="81" t="s">
        <v>3177</v>
      </c>
      <c r="B1925" s="80">
        <v>2</v>
      </c>
      <c r="C1925" s="104">
        <v>0.00165401096518671</v>
      </c>
      <c r="D1925" s="80" t="s">
        <v>2186</v>
      </c>
      <c r="E1925" s="80" t="b">
        <v>0</v>
      </c>
      <c r="F1925" s="80" t="b">
        <v>0</v>
      </c>
      <c r="G1925" s="80" t="b">
        <v>0</v>
      </c>
    </row>
    <row r="1926" spans="1:7" ht="15">
      <c r="A1926" s="81" t="s">
        <v>2337</v>
      </c>
      <c r="B1926" s="80">
        <v>2</v>
      </c>
      <c r="C1926" s="104">
        <v>0.0012405082238900324</v>
      </c>
      <c r="D1926" s="80" t="s">
        <v>2186</v>
      </c>
      <c r="E1926" s="80" t="b">
        <v>0</v>
      </c>
      <c r="F1926" s="80" t="b">
        <v>0</v>
      </c>
      <c r="G1926" s="80" t="b">
        <v>0</v>
      </c>
    </row>
    <row r="1927" spans="1:7" ht="15">
      <c r="A1927" s="81" t="s">
        <v>2481</v>
      </c>
      <c r="B1927" s="80">
        <v>2</v>
      </c>
      <c r="C1927" s="104">
        <v>0.0012405082238900324</v>
      </c>
      <c r="D1927" s="80" t="s">
        <v>2186</v>
      </c>
      <c r="E1927" s="80" t="b">
        <v>0</v>
      </c>
      <c r="F1927" s="80" t="b">
        <v>0</v>
      </c>
      <c r="G1927" s="80" t="b">
        <v>0</v>
      </c>
    </row>
    <row r="1928" spans="1:7" ht="15">
      <c r="A1928" s="81" t="s">
        <v>2700</v>
      </c>
      <c r="B1928" s="80">
        <v>2</v>
      </c>
      <c r="C1928" s="104">
        <v>0.0012405082238900324</v>
      </c>
      <c r="D1928" s="80" t="s">
        <v>2186</v>
      </c>
      <c r="E1928" s="80" t="b">
        <v>0</v>
      </c>
      <c r="F1928" s="80" t="b">
        <v>0</v>
      </c>
      <c r="G1928" s="80" t="b">
        <v>0</v>
      </c>
    </row>
    <row r="1929" spans="1:7" ht="15">
      <c r="A1929" s="81" t="s">
        <v>3080</v>
      </c>
      <c r="B1929" s="80">
        <v>2</v>
      </c>
      <c r="C1929" s="104">
        <v>0.0012405082238900324</v>
      </c>
      <c r="D1929" s="80" t="s">
        <v>2186</v>
      </c>
      <c r="E1929" s="80" t="b">
        <v>0</v>
      </c>
      <c r="F1929" s="80" t="b">
        <v>0</v>
      </c>
      <c r="G1929" s="80" t="b">
        <v>0</v>
      </c>
    </row>
    <row r="1930" spans="1:7" ht="15">
      <c r="A1930" s="81" t="s">
        <v>2437</v>
      </c>
      <c r="B1930" s="80">
        <v>2</v>
      </c>
      <c r="C1930" s="104">
        <v>0.00165401096518671</v>
      </c>
      <c r="D1930" s="80" t="s">
        <v>2186</v>
      </c>
      <c r="E1930" s="80" t="b">
        <v>0</v>
      </c>
      <c r="F1930" s="80" t="b">
        <v>0</v>
      </c>
      <c r="G1930" s="80" t="b">
        <v>0</v>
      </c>
    </row>
    <row r="1931" spans="1:7" ht="15">
      <c r="A1931" s="81" t="s">
        <v>2362</v>
      </c>
      <c r="B1931" s="80">
        <v>2</v>
      </c>
      <c r="C1931" s="104">
        <v>0.0012405082238900324</v>
      </c>
      <c r="D1931" s="80" t="s">
        <v>2186</v>
      </c>
      <c r="E1931" s="80" t="b">
        <v>1</v>
      </c>
      <c r="F1931" s="80" t="b">
        <v>0</v>
      </c>
      <c r="G1931" s="80" t="b">
        <v>0</v>
      </c>
    </row>
    <row r="1932" spans="1:7" ht="15">
      <c r="A1932" s="81" t="s">
        <v>2903</v>
      </c>
      <c r="B1932" s="80">
        <v>2</v>
      </c>
      <c r="C1932" s="104">
        <v>0.00165401096518671</v>
      </c>
      <c r="D1932" s="80" t="s">
        <v>2186</v>
      </c>
      <c r="E1932" s="80" t="b">
        <v>0</v>
      </c>
      <c r="F1932" s="80" t="b">
        <v>0</v>
      </c>
      <c r="G1932" s="80" t="b">
        <v>0</v>
      </c>
    </row>
    <row r="1933" spans="1:7" ht="15">
      <c r="A1933" s="81" t="s">
        <v>2977</v>
      </c>
      <c r="B1933" s="80">
        <v>2</v>
      </c>
      <c r="C1933" s="104">
        <v>0.00165401096518671</v>
      </c>
      <c r="D1933" s="80" t="s">
        <v>2186</v>
      </c>
      <c r="E1933" s="80" t="b">
        <v>0</v>
      </c>
      <c r="F1933" s="80" t="b">
        <v>0</v>
      </c>
      <c r="G1933" s="80" t="b">
        <v>0</v>
      </c>
    </row>
    <row r="1934" spans="1:7" ht="15">
      <c r="A1934" s="81" t="s">
        <v>2879</v>
      </c>
      <c r="B1934" s="80">
        <v>2</v>
      </c>
      <c r="C1934" s="104">
        <v>0.0012405082238900324</v>
      </c>
      <c r="D1934" s="80" t="s">
        <v>2186</v>
      </c>
      <c r="E1934" s="80" t="b">
        <v>0</v>
      </c>
      <c r="F1934" s="80" t="b">
        <v>0</v>
      </c>
      <c r="G1934" s="80" t="b">
        <v>0</v>
      </c>
    </row>
    <row r="1935" spans="1:7" ht="15">
      <c r="A1935" s="81" t="s">
        <v>2905</v>
      </c>
      <c r="B1935" s="80">
        <v>2</v>
      </c>
      <c r="C1935" s="104">
        <v>0.0012405082238900324</v>
      </c>
      <c r="D1935" s="80" t="s">
        <v>2186</v>
      </c>
      <c r="E1935" s="80" t="b">
        <v>0</v>
      </c>
      <c r="F1935" s="80" t="b">
        <v>0</v>
      </c>
      <c r="G1935" s="80" t="b">
        <v>0</v>
      </c>
    </row>
    <row r="1936" spans="1:7" ht="15">
      <c r="A1936" s="81" t="s">
        <v>2471</v>
      </c>
      <c r="B1936" s="80">
        <v>2</v>
      </c>
      <c r="C1936" s="104">
        <v>0.0012405082238900324</v>
      </c>
      <c r="D1936" s="80" t="s">
        <v>2186</v>
      </c>
      <c r="E1936" s="80" t="b">
        <v>0</v>
      </c>
      <c r="F1936" s="80" t="b">
        <v>0</v>
      </c>
      <c r="G1936" s="80" t="b">
        <v>0</v>
      </c>
    </row>
    <row r="1937" spans="1:7" ht="15">
      <c r="A1937" s="81" t="s">
        <v>3063</v>
      </c>
      <c r="B1937" s="80">
        <v>2</v>
      </c>
      <c r="C1937" s="104">
        <v>0.00165401096518671</v>
      </c>
      <c r="D1937" s="80" t="s">
        <v>2186</v>
      </c>
      <c r="E1937" s="80" t="b">
        <v>0</v>
      </c>
      <c r="F1937" s="80" t="b">
        <v>0</v>
      </c>
      <c r="G1937" s="80" t="b">
        <v>0</v>
      </c>
    </row>
    <row r="1938" spans="1:7" ht="15">
      <c r="A1938" s="81" t="s">
        <v>2351</v>
      </c>
      <c r="B1938" s="80">
        <v>2</v>
      </c>
      <c r="C1938" s="104">
        <v>0.0012405082238900324</v>
      </c>
      <c r="D1938" s="80" t="s">
        <v>2186</v>
      </c>
      <c r="E1938" s="80" t="b">
        <v>0</v>
      </c>
      <c r="F1938" s="80" t="b">
        <v>0</v>
      </c>
      <c r="G1938" s="80" t="b">
        <v>0</v>
      </c>
    </row>
    <row r="1939" spans="1:7" ht="15">
      <c r="A1939" s="81" t="s">
        <v>2693</v>
      </c>
      <c r="B1939" s="80">
        <v>2</v>
      </c>
      <c r="C1939" s="104">
        <v>0.00165401096518671</v>
      </c>
      <c r="D1939" s="80" t="s">
        <v>2186</v>
      </c>
      <c r="E1939" s="80" t="b">
        <v>0</v>
      </c>
      <c r="F1939" s="80" t="b">
        <v>0</v>
      </c>
      <c r="G1939" s="80" t="b">
        <v>0</v>
      </c>
    </row>
    <row r="1940" spans="1:7" ht="15">
      <c r="A1940" s="81" t="s">
        <v>3161</v>
      </c>
      <c r="B1940" s="80">
        <v>2</v>
      </c>
      <c r="C1940" s="104">
        <v>0.0012405082238900324</v>
      </c>
      <c r="D1940" s="80" t="s">
        <v>2186</v>
      </c>
      <c r="E1940" s="80" t="b">
        <v>1</v>
      </c>
      <c r="F1940" s="80" t="b">
        <v>0</v>
      </c>
      <c r="G1940" s="80" t="b">
        <v>0</v>
      </c>
    </row>
    <row r="1941" spans="1:7" ht="15">
      <c r="A1941" s="81" t="s">
        <v>3044</v>
      </c>
      <c r="B1941" s="80">
        <v>2</v>
      </c>
      <c r="C1941" s="104">
        <v>0.00165401096518671</v>
      </c>
      <c r="D1941" s="80" t="s">
        <v>2186</v>
      </c>
      <c r="E1941" s="80" t="b">
        <v>0</v>
      </c>
      <c r="F1941" s="80" t="b">
        <v>0</v>
      </c>
      <c r="G1941" s="80" t="b">
        <v>0</v>
      </c>
    </row>
    <row r="1942" spans="1:7" ht="15">
      <c r="A1942" s="81" t="s">
        <v>2485</v>
      </c>
      <c r="B1942" s="80">
        <v>2</v>
      </c>
      <c r="C1942" s="104">
        <v>0.0012405082238900324</v>
      </c>
      <c r="D1942" s="80" t="s">
        <v>2186</v>
      </c>
      <c r="E1942" s="80" t="b">
        <v>0</v>
      </c>
      <c r="F1942" s="80" t="b">
        <v>0</v>
      </c>
      <c r="G1942" s="80" t="b">
        <v>0</v>
      </c>
    </row>
    <row r="1943" spans="1:7" ht="15">
      <c r="A1943" s="81" t="s">
        <v>2506</v>
      </c>
      <c r="B1943" s="80">
        <v>2</v>
      </c>
      <c r="C1943" s="104">
        <v>0.0012405082238900324</v>
      </c>
      <c r="D1943" s="80" t="s">
        <v>2186</v>
      </c>
      <c r="E1943" s="80" t="b">
        <v>0</v>
      </c>
      <c r="F1943" s="80" t="b">
        <v>0</v>
      </c>
      <c r="G1943" s="80" t="b">
        <v>0</v>
      </c>
    </row>
    <row r="1944" spans="1:7" ht="15">
      <c r="A1944" s="81" t="s">
        <v>2350</v>
      </c>
      <c r="B1944" s="80">
        <v>2</v>
      </c>
      <c r="C1944" s="104">
        <v>0.00165401096518671</v>
      </c>
      <c r="D1944" s="80" t="s">
        <v>2186</v>
      </c>
      <c r="E1944" s="80" t="b">
        <v>0</v>
      </c>
      <c r="F1944" s="80" t="b">
        <v>0</v>
      </c>
      <c r="G1944" s="80" t="b">
        <v>0</v>
      </c>
    </row>
    <row r="1945" spans="1:7" ht="15">
      <c r="A1945" s="81" t="s">
        <v>3175</v>
      </c>
      <c r="B1945" s="80">
        <v>2</v>
      </c>
      <c r="C1945" s="104">
        <v>0.0012405082238900324</v>
      </c>
      <c r="D1945" s="80" t="s">
        <v>2186</v>
      </c>
      <c r="E1945" s="80" t="b">
        <v>1</v>
      </c>
      <c r="F1945" s="80" t="b">
        <v>0</v>
      </c>
      <c r="G1945" s="80" t="b">
        <v>0</v>
      </c>
    </row>
    <row r="1946" spans="1:7" ht="15">
      <c r="A1946" s="81" t="s">
        <v>2752</v>
      </c>
      <c r="B1946" s="80">
        <v>2</v>
      </c>
      <c r="C1946" s="104">
        <v>0.0012405082238900324</v>
      </c>
      <c r="D1946" s="80" t="s">
        <v>2186</v>
      </c>
      <c r="E1946" s="80" t="b">
        <v>0</v>
      </c>
      <c r="F1946" s="80" t="b">
        <v>0</v>
      </c>
      <c r="G1946" s="80" t="b">
        <v>0</v>
      </c>
    </row>
    <row r="1947" spans="1:7" ht="15">
      <c r="A1947" s="81" t="s">
        <v>2299</v>
      </c>
      <c r="B1947" s="80">
        <v>2</v>
      </c>
      <c r="C1947" s="104">
        <v>0.0012405082238900324</v>
      </c>
      <c r="D1947" s="80" t="s">
        <v>2186</v>
      </c>
      <c r="E1947" s="80" t="b">
        <v>0</v>
      </c>
      <c r="F1947" s="80" t="b">
        <v>1</v>
      </c>
      <c r="G1947" s="80" t="b">
        <v>0</v>
      </c>
    </row>
    <row r="1948" spans="1:7" ht="15">
      <c r="A1948" s="81" t="s">
        <v>2818</v>
      </c>
      <c r="B1948" s="80">
        <v>2</v>
      </c>
      <c r="C1948" s="104">
        <v>0.0012405082238900324</v>
      </c>
      <c r="D1948" s="80" t="s">
        <v>2186</v>
      </c>
      <c r="E1948" s="80" t="b">
        <v>0</v>
      </c>
      <c r="F1948" s="80" t="b">
        <v>0</v>
      </c>
      <c r="G1948" s="80" t="b">
        <v>0</v>
      </c>
    </row>
    <row r="1949" spans="1:7" ht="15">
      <c r="A1949" s="81" t="s">
        <v>2549</v>
      </c>
      <c r="B1949" s="80">
        <v>2</v>
      </c>
      <c r="C1949" s="104">
        <v>0.0012405082238900324</v>
      </c>
      <c r="D1949" s="80" t="s">
        <v>2186</v>
      </c>
      <c r="E1949" s="80" t="b">
        <v>1</v>
      </c>
      <c r="F1949" s="80" t="b">
        <v>0</v>
      </c>
      <c r="G1949" s="80" t="b">
        <v>0</v>
      </c>
    </row>
    <row r="1950" spans="1:7" ht="15">
      <c r="A1950" s="81" t="s">
        <v>2799</v>
      </c>
      <c r="B1950" s="80">
        <v>2</v>
      </c>
      <c r="C1950" s="104">
        <v>0.0012405082238900324</v>
      </c>
      <c r="D1950" s="80" t="s">
        <v>2186</v>
      </c>
      <c r="E1950" s="80" t="b">
        <v>0</v>
      </c>
      <c r="F1950" s="80" t="b">
        <v>0</v>
      </c>
      <c r="G1950" s="80" t="b">
        <v>0</v>
      </c>
    </row>
    <row r="1951" spans="1:7" ht="15">
      <c r="A1951" s="81" t="s">
        <v>2605</v>
      </c>
      <c r="B1951" s="80">
        <v>2</v>
      </c>
      <c r="C1951" s="104">
        <v>0.0012405082238900324</v>
      </c>
      <c r="D1951" s="80" t="s">
        <v>2186</v>
      </c>
      <c r="E1951" s="80" t="b">
        <v>0</v>
      </c>
      <c r="F1951" s="80" t="b">
        <v>0</v>
      </c>
      <c r="G1951" s="80" t="b">
        <v>0</v>
      </c>
    </row>
    <row r="1952" spans="1:7" ht="15">
      <c r="A1952" s="81" t="s">
        <v>2948</v>
      </c>
      <c r="B1952" s="80">
        <v>2</v>
      </c>
      <c r="C1952" s="104">
        <v>0.0012405082238900324</v>
      </c>
      <c r="D1952" s="80" t="s">
        <v>2186</v>
      </c>
      <c r="E1952" s="80" t="b">
        <v>0</v>
      </c>
      <c r="F1952" s="80" t="b">
        <v>0</v>
      </c>
      <c r="G1952" s="80" t="b">
        <v>0</v>
      </c>
    </row>
    <row r="1953" spans="1:7" ht="15">
      <c r="A1953" s="81" t="s">
        <v>3117</v>
      </c>
      <c r="B1953" s="80">
        <v>2</v>
      </c>
      <c r="C1953" s="104">
        <v>0.0012405082238900324</v>
      </c>
      <c r="D1953" s="80" t="s">
        <v>2186</v>
      </c>
      <c r="E1953" s="80" t="b">
        <v>0</v>
      </c>
      <c r="F1953" s="80" t="b">
        <v>0</v>
      </c>
      <c r="G1953" s="80" t="b">
        <v>0</v>
      </c>
    </row>
    <row r="1954" spans="1:7" ht="15">
      <c r="A1954" s="81" t="s">
        <v>2486</v>
      </c>
      <c r="B1954" s="80">
        <v>2</v>
      </c>
      <c r="C1954" s="104">
        <v>0.0012405082238900324</v>
      </c>
      <c r="D1954" s="80" t="s">
        <v>2186</v>
      </c>
      <c r="E1954" s="80" t="b">
        <v>0</v>
      </c>
      <c r="F1954" s="80" t="b">
        <v>0</v>
      </c>
      <c r="G1954" s="80" t="b">
        <v>0</v>
      </c>
    </row>
    <row r="1955" spans="1:7" ht="15">
      <c r="A1955" s="81" t="s">
        <v>2876</v>
      </c>
      <c r="B1955" s="80">
        <v>2</v>
      </c>
      <c r="C1955" s="104">
        <v>0.0012405082238900324</v>
      </c>
      <c r="D1955" s="80" t="s">
        <v>2186</v>
      </c>
      <c r="E1955" s="80" t="b">
        <v>0</v>
      </c>
      <c r="F1955" s="80" t="b">
        <v>0</v>
      </c>
      <c r="G1955" s="80" t="b">
        <v>0</v>
      </c>
    </row>
    <row r="1956" spans="1:7" ht="15">
      <c r="A1956" s="81" t="s">
        <v>2660</v>
      </c>
      <c r="B1956" s="80">
        <v>2</v>
      </c>
      <c r="C1956" s="104">
        <v>0.00165401096518671</v>
      </c>
      <c r="D1956" s="80" t="s">
        <v>2186</v>
      </c>
      <c r="E1956" s="80" t="b">
        <v>1</v>
      </c>
      <c r="F1956" s="80" t="b">
        <v>0</v>
      </c>
      <c r="G1956" s="80" t="b">
        <v>0</v>
      </c>
    </row>
    <row r="1957" spans="1:7" ht="15">
      <c r="A1957" s="81" t="s">
        <v>2699</v>
      </c>
      <c r="B1957" s="80">
        <v>2</v>
      </c>
      <c r="C1957" s="104">
        <v>0.0012405082238900324</v>
      </c>
      <c r="D1957" s="80" t="s">
        <v>2186</v>
      </c>
      <c r="E1957" s="80" t="b">
        <v>0</v>
      </c>
      <c r="F1957" s="80" t="b">
        <v>0</v>
      </c>
      <c r="G1957" s="80" t="b">
        <v>0</v>
      </c>
    </row>
    <row r="1958" spans="1:7" ht="15">
      <c r="A1958" s="81" t="s">
        <v>2551</v>
      </c>
      <c r="B1958" s="80">
        <v>2</v>
      </c>
      <c r="C1958" s="104">
        <v>0.0012405082238900324</v>
      </c>
      <c r="D1958" s="80" t="s">
        <v>2186</v>
      </c>
      <c r="E1958" s="80" t="b">
        <v>0</v>
      </c>
      <c r="F1958" s="80" t="b">
        <v>0</v>
      </c>
      <c r="G1958" s="80" t="b">
        <v>0</v>
      </c>
    </row>
    <row r="1959" spans="1:7" ht="15">
      <c r="A1959" s="81" t="s">
        <v>2409</v>
      </c>
      <c r="B1959" s="80">
        <v>2</v>
      </c>
      <c r="C1959" s="104">
        <v>0.00165401096518671</v>
      </c>
      <c r="D1959" s="80" t="s">
        <v>2186</v>
      </c>
      <c r="E1959" s="80" t="b">
        <v>0</v>
      </c>
      <c r="F1959" s="80" t="b">
        <v>0</v>
      </c>
      <c r="G1959" s="80" t="b">
        <v>0</v>
      </c>
    </row>
    <row r="1960" spans="1:7" ht="15">
      <c r="A1960" s="81" t="s">
        <v>3154</v>
      </c>
      <c r="B1960" s="80">
        <v>2</v>
      </c>
      <c r="C1960" s="104">
        <v>0.0012405082238900324</v>
      </c>
      <c r="D1960" s="80" t="s">
        <v>2186</v>
      </c>
      <c r="E1960" s="80" t="b">
        <v>0</v>
      </c>
      <c r="F1960" s="80" t="b">
        <v>0</v>
      </c>
      <c r="G1960" s="80" t="b">
        <v>0</v>
      </c>
    </row>
    <row r="1961" spans="1:7" ht="15">
      <c r="A1961" s="81" t="s">
        <v>2311</v>
      </c>
      <c r="B1961" s="80">
        <v>2</v>
      </c>
      <c r="C1961" s="104">
        <v>0.0012405082238900324</v>
      </c>
      <c r="D1961" s="80" t="s">
        <v>2186</v>
      </c>
      <c r="E1961" s="80" t="b">
        <v>0</v>
      </c>
      <c r="F1961" s="80" t="b">
        <v>0</v>
      </c>
      <c r="G1961" s="80" t="b">
        <v>0</v>
      </c>
    </row>
    <row r="1962" spans="1:7" ht="15">
      <c r="A1962" s="81" t="s">
        <v>2410</v>
      </c>
      <c r="B1962" s="80">
        <v>2</v>
      </c>
      <c r="C1962" s="104">
        <v>0.0012405082238900324</v>
      </c>
      <c r="D1962" s="80" t="s">
        <v>2186</v>
      </c>
      <c r="E1962" s="80" t="b">
        <v>0</v>
      </c>
      <c r="F1962" s="80" t="b">
        <v>0</v>
      </c>
      <c r="G1962" s="80" t="b">
        <v>0</v>
      </c>
    </row>
    <row r="1963" spans="1:7" ht="15">
      <c r="A1963" s="81" t="s">
        <v>2266</v>
      </c>
      <c r="B1963" s="80">
        <v>2</v>
      </c>
      <c r="C1963" s="104">
        <v>0.00165401096518671</v>
      </c>
      <c r="D1963" s="80" t="s">
        <v>2186</v>
      </c>
      <c r="E1963" s="80" t="b">
        <v>0</v>
      </c>
      <c r="F1963" s="80" t="b">
        <v>0</v>
      </c>
      <c r="G1963" s="80" t="b">
        <v>0</v>
      </c>
    </row>
    <row r="1964" spans="1:7" ht="15">
      <c r="A1964" s="81" t="s">
        <v>2593</v>
      </c>
      <c r="B1964" s="80">
        <v>2</v>
      </c>
      <c r="C1964" s="104">
        <v>0.0012405082238900324</v>
      </c>
      <c r="D1964" s="80" t="s">
        <v>2186</v>
      </c>
      <c r="E1964" s="80" t="b">
        <v>0</v>
      </c>
      <c r="F1964" s="80" t="b">
        <v>0</v>
      </c>
      <c r="G1964" s="80" t="b">
        <v>0</v>
      </c>
    </row>
    <row r="1965" spans="1:7" ht="15">
      <c r="A1965" s="81" t="s">
        <v>2632</v>
      </c>
      <c r="B1965" s="80">
        <v>2</v>
      </c>
      <c r="C1965" s="104">
        <v>0.0012405082238900324</v>
      </c>
      <c r="D1965" s="80" t="s">
        <v>2186</v>
      </c>
      <c r="E1965" s="80" t="b">
        <v>0</v>
      </c>
      <c r="F1965" s="80" t="b">
        <v>0</v>
      </c>
      <c r="G1965" s="80" t="b">
        <v>0</v>
      </c>
    </row>
    <row r="1966" spans="1:7" ht="15">
      <c r="A1966" s="81" t="s">
        <v>2583</v>
      </c>
      <c r="B1966" s="80">
        <v>2</v>
      </c>
      <c r="C1966" s="104">
        <v>0.00165401096518671</v>
      </c>
      <c r="D1966" s="80" t="s">
        <v>2186</v>
      </c>
      <c r="E1966" s="80" t="b">
        <v>0</v>
      </c>
      <c r="F1966" s="80" t="b">
        <v>0</v>
      </c>
      <c r="G1966" s="80" t="b">
        <v>0</v>
      </c>
    </row>
    <row r="1967" spans="1:7" ht="15">
      <c r="A1967" s="81" t="s">
        <v>2450</v>
      </c>
      <c r="B1967" s="80">
        <v>2</v>
      </c>
      <c r="C1967" s="104">
        <v>0.0012405082238900324</v>
      </c>
      <c r="D1967" s="80" t="s">
        <v>2186</v>
      </c>
      <c r="E1967" s="80" t="b">
        <v>0</v>
      </c>
      <c r="F1967" s="80" t="b">
        <v>0</v>
      </c>
      <c r="G1967" s="80" t="b">
        <v>0</v>
      </c>
    </row>
    <row r="1968" spans="1:7" ht="15">
      <c r="A1968" s="81" t="s">
        <v>3131</v>
      </c>
      <c r="B1968" s="80">
        <v>2</v>
      </c>
      <c r="C1968" s="104">
        <v>0.0012405082238900324</v>
      </c>
      <c r="D1968" s="80" t="s">
        <v>2186</v>
      </c>
      <c r="E1968" s="80" t="b">
        <v>0</v>
      </c>
      <c r="F1968" s="80" t="b">
        <v>0</v>
      </c>
      <c r="G1968" s="80" t="b">
        <v>0</v>
      </c>
    </row>
    <row r="1969" spans="1:7" ht="15">
      <c r="A1969" s="81" t="s">
        <v>3216</v>
      </c>
      <c r="B1969" s="80">
        <v>2</v>
      </c>
      <c r="C1969" s="104">
        <v>0.0012405082238900324</v>
      </c>
      <c r="D1969" s="80" t="s">
        <v>2186</v>
      </c>
      <c r="E1969" s="80" t="b">
        <v>1</v>
      </c>
      <c r="F1969" s="80" t="b">
        <v>0</v>
      </c>
      <c r="G1969" s="80" t="b">
        <v>0</v>
      </c>
    </row>
    <row r="1970" spans="1:7" ht="15">
      <c r="A1970" s="81" t="s">
        <v>2402</v>
      </c>
      <c r="B1970" s="80">
        <v>2</v>
      </c>
      <c r="C1970" s="104">
        <v>0.00165401096518671</v>
      </c>
      <c r="D1970" s="80" t="s">
        <v>2186</v>
      </c>
      <c r="E1970" s="80" t="b">
        <v>0</v>
      </c>
      <c r="F1970" s="80" t="b">
        <v>0</v>
      </c>
      <c r="G1970" s="80" t="b">
        <v>0</v>
      </c>
    </row>
    <row r="1971" spans="1:7" ht="15">
      <c r="A1971" s="81" t="s">
        <v>2682</v>
      </c>
      <c r="B1971" s="80">
        <v>2</v>
      </c>
      <c r="C1971" s="104">
        <v>0.0012405082238900324</v>
      </c>
      <c r="D1971" s="80" t="s">
        <v>2186</v>
      </c>
      <c r="E1971" s="80" t="b">
        <v>0</v>
      </c>
      <c r="F1971" s="80" t="b">
        <v>0</v>
      </c>
      <c r="G1971" s="80" t="b">
        <v>0</v>
      </c>
    </row>
    <row r="1972" spans="1:7" ht="15">
      <c r="A1972" s="81" t="s">
        <v>2288</v>
      </c>
      <c r="B1972" s="80">
        <v>2</v>
      </c>
      <c r="C1972" s="104">
        <v>0.0012405082238900324</v>
      </c>
      <c r="D1972" s="80" t="s">
        <v>2186</v>
      </c>
      <c r="E1972" s="80" t="b">
        <v>0</v>
      </c>
      <c r="F1972" s="80" t="b">
        <v>0</v>
      </c>
      <c r="G1972" s="80" t="b">
        <v>0</v>
      </c>
    </row>
    <row r="1973" spans="1:7" ht="15">
      <c r="A1973" s="81" t="s">
        <v>3173</v>
      </c>
      <c r="B1973" s="80">
        <v>2</v>
      </c>
      <c r="C1973" s="104">
        <v>0.0012405082238900324</v>
      </c>
      <c r="D1973" s="80" t="s">
        <v>2186</v>
      </c>
      <c r="E1973" s="80" t="b">
        <v>0</v>
      </c>
      <c r="F1973" s="80" t="b">
        <v>0</v>
      </c>
      <c r="G1973" s="80" t="b">
        <v>0</v>
      </c>
    </row>
    <row r="1974" spans="1:7" ht="15">
      <c r="A1974" s="81" t="s">
        <v>3199</v>
      </c>
      <c r="B1974" s="80">
        <v>2</v>
      </c>
      <c r="C1974" s="104">
        <v>0.00165401096518671</v>
      </c>
      <c r="D1974" s="80" t="s">
        <v>2186</v>
      </c>
      <c r="E1974" s="80" t="b">
        <v>0</v>
      </c>
      <c r="F1974" s="80" t="b">
        <v>0</v>
      </c>
      <c r="G1974" s="80" t="b">
        <v>0</v>
      </c>
    </row>
    <row r="1975" spans="1:7" ht="15">
      <c r="A1975" s="81" t="s">
        <v>3095</v>
      </c>
      <c r="B1975" s="80">
        <v>2</v>
      </c>
      <c r="C1975" s="104">
        <v>0.0012405082238900324</v>
      </c>
      <c r="D1975" s="80" t="s">
        <v>2186</v>
      </c>
      <c r="E1975" s="80" t="b">
        <v>0</v>
      </c>
      <c r="F1975" s="80" t="b">
        <v>0</v>
      </c>
      <c r="G1975" s="80" t="b">
        <v>0</v>
      </c>
    </row>
    <row r="1976" spans="1:7" ht="15">
      <c r="A1976" s="81" t="s">
        <v>2607</v>
      </c>
      <c r="B1976" s="80">
        <v>2</v>
      </c>
      <c r="C1976" s="104">
        <v>0.0012405082238900324</v>
      </c>
      <c r="D1976" s="80" t="s">
        <v>2186</v>
      </c>
      <c r="E1976" s="80" t="b">
        <v>0</v>
      </c>
      <c r="F1976" s="80" t="b">
        <v>0</v>
      </c>
      <c r="G1976" s="80" t="b">
        <v>0</v>
      </c>
    </row>
    <row r="1977" spans="1:7" ht="15">
      <c r="A1977" s="81" t="s">
        <v>3192</v>
      </c>
      <c r="B1977" s="80">
        <v>2</v>
      </c>
      <c r="C1977" s="104">
        <v>0.00165401096518671</v>
      </c>
      <c r="D1977" s="80" t="s">
        <v>2186</v>
      </c>
      <c r="E1977" s="80" t="b">
        <v>0</v>
      </c>
      <c r="F1977" s="80" t="b">
        <v>0</v>
      </c>
      <c r="G1977" s="80" t="b">
        <v>0</v>
      </c>
    </row>
    <row r="1978" spans="1:7" ht="15">
      <c r="A1978" s="81" t="s">
        <v>3039</v>
      </c>
      <c r="B1978" s="80">
        <v>2</v>
      </c>
      <c r="C1978" s="104">
        <v>0.00165401096518671</v>
      </c>
      <c r="D1978" s="80" t="s">
        <v>2186</v>
      </c>
      <c r="E1978" s="80" t="b">
        <v>0</v>
      </c>
      <c r="F1978" s="80" t="b">
        <v>0</v>
      </c>
      <c r="G1978" s="80" t="b">
        <v>0</v>
      </c>
    </row>
    <row r="1979" spans="1:7" ht="15">
      <c r="A1979" s="81" t="s">
        <v>2223</v>
      </c>
      <c r="B1979" s="80">
        <v>2</v>
      </c>
      <c r="C1979" s="104">
        <v>0.00165401096518671</v>
      </c>
      <c r="D1979" s="80" t="s">
        <v>2186</v>
      </c>
      <c r="E1979" s="80" t="b">
        <v>0</v>
      </c>
      <c r="F1979" s="80" t="b">
        <v>0</v>
      </c>
      <c r="G1979" s="80" t="b">
        <v>0</v>
      </c>
    </row>
    <row r="1980" spans="1:7" ht="15">
      <c r="A1980" s="81" t="s">
        <v>3337</v>
      </c>
      <c r="B1980" s="80">
        <v>2</v>
      </c>
      <c r="C1980" s="104">
        <v>0.0012405082238900324</v>
      </c>
      <c r="D1980" s="80" t="s">
        <v>2186</v>
      </c>
      <c r="E1980" s="80" t="b">
        <v>0</v>
      </c>
      <c r="F1980" s="80" t="b">
        <v>0</v>
      </c>
      <c r="G1980" s="80" t="b">
        <v>0</v>
      </c>
    </row>
    <row r="1981" spans="1:7" ht="15">
      <c r="A1981" s="81" t="s">
        <v>2597</v>
      </c>
      <c r="B1981" s="80">
        <v>2</v>
      </c>
      <c r="C1981" s="104">
        <v>0.0012405082238900324</v>
      </c>
      <c r="D1981" s="80" t="s">
        <v>2186</v>
      </c>
      <c r="E1981" s="80" t="b">
        <v>0</v>
      </c>
      <c r="F1981" s="80" t="b">
        <v>0</v>
      </c>
      <c r="G1981" s="80" t="b">
        <v>0</v>
      </c>
    </row>
    <row r="1982" spans="1:7" ht="15">
      <c r="A1982" s="81" t="s">
        <v>2365</v>
      </c>
      <c r="B1982" s="80">
        <v>2</v>
      </c>
      <c r="C1982" s="104">
        <v>0.00165401096518671</v>
      </c>
      <c r="D1982" s="80" t="s">
        <v>2186</v>
      </c>
      <c r="E1982" s="80" t="b">
        <v>0</v>
      </c>
      <c r="F1982" s="80" t="b">
        <v>0</v>
      </c>
      <c r="G1982" s="80" t="b">
        <v>0</v>
      </c>
    </row>
    <row r="1983" spans="1:7" ht="15">
      <c r="A1983" s="81" t="s">
        <v>2620</v>
      </c>
      <c r="B1983" s="80">
        <v>2</v>
      </c>
      <c r="C1983" s="104">
        <v>0.00165401096518671</v>
      </c>
      <c r="D1983" s="80" t="s">
        <v>2186</v>
      </c>
      <c r="E1983" s="80" t="b">
        <v>0</v>
      </c>
      <c r="F1983" s="80" t="b">
        <v>0</v>
      </c>
      <c r="G1983" s="80" t="b">
        <v>0</v>
      </c>
    </row>
    <row r="1984" spans="1:7" ht="15">
      <c r="A1984" s="81" t="s">
        <v>2975</v>
      </c>
      <c r="B1984" s="80">
        <v>2</v>
      </c>
      <c r="C1984" s="104">
        <v>0.0012405082238900324</v>
      </c>
      <c r="D1984" s="80" t="s">
        <v>2186</v>
      </c>
      <c r="E1984" s="80" t="b">
        <v>0</v>
      </c>
      <c r="F1984" s="80" t="b">
        <v>0</v>
      </c>
      <c r="G1984" s="80" t="b">
        <v>0</v>
      </c>
    </row>
    <row r="1985" spans="1:7" ht="15">
      <c r="A1985" s="81" t="s">
        <v>2368</v>
      </c>
      <c r="B1985" s="80">
        <v>2</v>
      </c>
      <c r="C1985" s="104">
        <v>0.0012405082238900324</v>
      </c>
      <c r="D1985" s="80" t="s">
        <v>2186</v>
      </c>
      <c r="E1985" s="80" t="b">
        <v>0</v>
      </c>
      <c r="F1985" s="80" t="b">
        <v>0</v>
      </c>
      <c r="G1985" s="80" t="b">
        <v>0</v>
      </c>
    </row>
    <row r="1986" spans="1:7" ht="15">
      <c r="A1986" s="81" t="s">
        <v>2458</v>
      </c>
      <c r="B1986" s="80">
        <v>2</v>
      </c>
      <c r="C1986" s="104">
        <v>0.0012405082238900324</v>
      </c>
      <c r="D1986" s="80" t="s">
        <v>2186</v>
      </c>
      <c r="E1986" s="80" t="b">
        <v>0</v>
      </c>
      <c r="F1986" s="80" t="b">
        <v>0</v>
      </c>
      <c r="G1986" s="80" t="b">
        <v>0</v>
      </c>
    </row>
    <row r="1987" spans="1:7" ht="15">
      <c r="A1987" s="81" t="s">
        <v>3326</v>
      </c>
      <c r="B1987" s="80">
        <v>2</v>
      </c>
      <c r="C1987" s="104">
        <v>0.00165401096518671</v>
      </c>
      <c r="D1987" s="80" t="s">
        <v>2186</v>
      </c>
      <c r="E1987" s="80" t="b">
        <v>0</v>
      </c>
      <c r="F1987" s="80" t="b">
        <v>0</v>
      </c>
      <c r="G1987" s="80" t="b">
        <v>0</v>
      </c>
    </row>
    <row r="1988" spans="1:7" ht="15">
      <c r="A1988" s="81" t="s">
        <v>2500</v>
      </c>
      <c r="B1988" s="80">
        <v>2</v>
      </c>
      <c r="C1988" s="104">
        <v>0.0012405082238900324</v>
      </c>
      <c r="D1988" s="80" t="s">
        <v>2186</v>
      </c>
      <c r="E1988" s="80" t="b">
        <v>0</v>
      </c>
      <c r="F1988" s="80" t="b">
        <v>0</v>
      </c>
      <c r="G1988" s="80" t="b">
        <v>0</v>
      </c>
    </row>
    <row r="1989" spans="1:7" ht="15">
      <c r="A1989" s="81" t="s">
        <v>2477</v>
      </c>
      <c r="B1989" s="80">
        <v>2</v>
      </c>
      <c r="C1989" s="104">
        <v>0.0012405082238900324</v>
      </c>
      <c r="D1989" s="80" t="s">
        <v>2186</v>
      </c>
      <c r="E1989" s="80" t="b">
        <v>0</v>
      </c>
      <c r="F1989" s="80" t="b">
        <v>0</v>
      </c>
      <c r="G1989" s="80" t="b">
        <v>0</v>
      </c>
    </row>
    <row r="1990" spans="1:7" ht="15">
      <c r="A1990" s="81" t="s">
        <v>2343</v>
      </c>
      <c r="B1990" s="80">
        <v>2</v>
      </c>
      <c r="C1990" s="104">
        <v>0.0012405082238900324</v>
      </c>
      <c r="D1990" s="80" t="s">
        <v>2186</v>
      </c>
      <c r="E1990" s="80" t="b">
        <v>0</v>
      </c>
      <c r="F1990" s="80" t="b">
        <v>0</v>
      </c>
      <c r="G1990" s="80" t="b">
        <v>0</v>
      </c>
    </row>
    <row r="1991" spans="1:7" ht="15">
      <c r="A1991" s="81" t="s">
        <v>3116</v>
      </c>
      <c r="B1991" s="80">
        <v>2</v>
      </c>
      <c r="C1991" s="104">
        <v>0.00165401096518671</v>
      </c>
      <c r="D1991" s="80" t="s">
        <v>2186</v>
      </c>
      <c r="E1991" s="80" t="b">
        <v>0</v>
      </c>
      <c r="F1991" s="80" t="b">
        <v>0</v>
      </c>
      <c r="G1991" s="80" t="b">
        <v>0</v>
      </c>
    </row>
    <row r="1992" spans="1:7" ht="15">
      <c r="A1992" s="81" t="s">
        <v>2825</v>
      </c>
      <c r="B1992" s="80">
        <v>2</v>
      </c>
      <c r="C1992" s="104">
        <v>0.0012405082238900324</v>
      </c>
      <c r="D1992" s="80" t="s">
        <v>2186</v>
      </c>
      <c r="E1992" s="80" t="b">
        <v>0</v>
      </c>
      <c r="F1992" s="80" t="b">
        <v>0</v>
      </c>
      <c r="G1992" s="80" t="b">
        <v>0</v>
      </c>
    </row>
    <row r="1993" spans="1:7" ht="15">
      <c r="A1993" s="81" t="s">
        <v>2991</v>
      </c>
      <c r="B1993" s="80">
        <v>2</v>
      </c>
      <c r="C1993" s="104">
        <v>0.0012405082238900324</v>
      </c>
      <c r="D1993" s="80" t="s">
        <v>2186</v>
      </c>
      <c r="E1993" s="80" t="b">
        <v>0</v>
      </c>
      <c r="F1993" s="80" t="b">
        <v>0</v>
      </c>
      <c r="G1993" s="80" t="b">
        <v>0</v>
      </c>
    </row>
    <row r="1994" spans="1:7" ht="15">
      <c r="A1994" s="81" t="s">
        <v>2966</v>
      </c>
      <c r="B1994" s="80">
        <v>2</v>
      </c>
      <c r="C1994" s="104">
        <v>0.0012405082238900324</v>
      </c>
      <c r="D1994" s="80" t="s">
        <v>2186</v>
      </c>
      <c r="E1994" s="80" t="b">
        <v>0</v>
      </c>
      <c r="F1994" s="80" t="b">
        <v>0</v>
      </c>
      <c r="G1994" s="80" t="b">
        <v>0</v>
      </c>
    </row>
    <row r="1995" spans="1:7" ht="15">
      <c r="A1995" s="81" t="s">
        <v>3130</v>
      </c>
      <c r="B1995" s="80">
        <v>2</v>
      </c>
      <c r="C1995" s="104">
        <v>0.0012405082238900324</v>
      </c>
      <c r="D1995" s="80" t="s">
        <v>2186</v>
      </c>
      <c r="E1995" s="80" t="b">
        <v>0</v>
      </c>
      <c r="F1995" s="80" t="b">
        <v>0</v>
      </c>
      <c r="G1995" s="80" t="b">
        <v>0</v>
      </c>
    </row>
    <row r="1996" spans="1:7" ht="15">
      <c r="A1996" s="81" t="s">
        <v>2822</v>
      </c>
      <c r="B1996" s="80">
        <v>2</v>
      </c>
      <c r="C1996" s="104">
        <v>0.0012405082238900324</v>
      </c>
      <c r="D1996" s="80" t="s">
        <v>2186</v>
      </c>
      <c r="E1996" s="80" t="b">
        <v>0</v>
      </c>
      <c r="F1996" s="80" t="b">
        <v>0</v>
      </c>
      <c r="G1996" s="80" t="b">
        <v>0</v>
      </c>
    </row>
    <row r="1997" spans="1:7" ht="15">
      <c r="A1997" s="81" t="s">
        <v>2259</v>
      </c>
      <c r="B1997" s="80">
        <v>2</v>
      </c>
      <c r="C1997" s="104">
        <v>0.0012405082238900324</v>
      </c>
      <c r="D1997" s="80" t="s">
        <v>2186</v>
      </c>
      <c r="E1997" s="80" t="b">
        <v>0</v>
      </c>
      <c r="F1997" s="80" t="b">
        <v>0</v>
      </c>
      <c r="G1997" s="80" t="b">
        <v>0</v>
      </c>
    </row>
    <row r="1998" spans="1:7" ht="15">
      <c r="A1998" s="81" t="s">
        <v>3348</v>
      </c>
      <c r="B1998" s="80">
        <v>2</v>
      </c>
      <c r="C1998" s="104">
        <v>0.00165401096518671</v>
      </c>
      <c r="D1998" s="80" t="s">
        <v>2186</v>
      </c>
      <c r="E1998" s="80" t="b">
        <v>0</v>
      </c>
      <c r="F1998" s="80" t="b">
        <v>0</v>
      </c>
      <c r="G1998" s="80" t="b">
        <v>0</v>
      </c>
    </row>
    <row r="1999" spans="1:7" ht="15">
      <c r="A1999" s="81" t="s">
        <v>2256</v>
      </c>
      <c r="B1999" s="80">
        <v>2</v>
      </c>
      <c r="C1999" s="104">
        <v>0.0012405082238900324</v>
      </c>
      <c r="D1999" s="80" t="s">
        <v>2186</v>
      </c>
      <c r="E1999" s="80" t="b">
        <v>0</v>
      </c>
      <c r="F1999" s="80" t="b">
        <v>0</v>
      </c>
      <c r="G1999" s="80" t="b">
        <v>0</v>
      </c>
    </row>
    <row r="2000" spans="1:7" ht="15">
      <c r="A2000" s="81" t="s">
        <v>3027</v>
      </c>
      <c r="B2000" s="80">
        <v>2</v>
      </c>
      <c r="C2000" s="104">
        <v>0.0012405082238900324</v>
      </c>
      <c r="D2000" s="80" t="s">
        <v>2186</v>
      </c>
      <c r="E2000" s="80" t="b">
        <v>0</v>
      </c>
      <c r="F2000" s="80" t="b">
        <v>0</v>
      </c>
      <c r="G2000" s="80" t="b">
        <v>0</v>
      </c>
    </row>
    <row r="2001" spans="1:7" ht="15">
      <c r="A2001" s="81" t="s">
        <v>2579</v>
      </c>
      <c r="B2001" s="80">
        <v>2</v>
      </c>
      <c r="C2001" s="104">
        <v>0.0012405082238900324</v>
      </c>
      <c r="D2001" s="80" t="s">
        <v>2186</v>
      </c>
      <c r="E2001" s="80" t="b">
        <v>0</v>
      </c>
      <c r="F2001" s="80" t="b">
        <v>0</v>
      </c>
      <c r="G2001" s="80" t="b">
        <v>0</v>
      </c>
    </row>
    <row r="2002" spans="1:7" ht="15">
      <c r="A2002" s="81" t="s">
        <v>3255</v>
      </c>
      <c r="B2002" s="80">
        <v>2</v>
      </c>
      <c r="C2002" s="104">
        <v>0.00165401096518671</v>
      </c>
      <c r="D2002" s="80" t="s">
        <v>2186</v>
      </c>
      <c r="E2002" s="80" t="b">
        <v>0</v>
      </c>
      <c r="F2002" s="80" t="b">
        <v>0</v>
      </c>
      <c r="G2002" s="80" t="b">
        <v>0</v>
      </c>
    </row>
    <row r="2003" spans="1:7" ht="15">
      <c r="A2003" s="81" t="s">
        <v>2920</v>
      </c>
      <c r="B2003" s="80">
        <v>2</v>
      </c>
      <c r="C2003" s="104">
        <v>0.00165401096518671</v>
      </c>
      <c r="D2003" s="80" t="s">
        <v>2186</v>
      </c>
      <c r="E2003" s="80" t="b">
        <v>0</v>
      </c>
      <c r="F2003" s="80" t="b">
        <v>0</v>
      </c>
      <c r="G2003" s="80" t="b">
        <v>0</v>
      </c>
    </row>
    <row r="2004" spans="1:7" ht="15">
      <c r="A2004" s="81" t="s">
        <v>2869</v>
      </c>
      <c r="B2004" s="80">
        <v>2</v>
      </c>
      <c r="C2004" s="104">
        <v>0.0012405082238900324</v>
      </c>
      <c r="D2004" s="80" t="s">
        <v>2186</v>
      </c>
      <c r="E2004" s="80" t="b">
        <v>0</v>
      </c>
      <c r="F2004" s="80" t="b">
        <v>0</v>
      </c>
      <c r="G2004" s="80" t="b">
        <v>0</v>
      </c>
    </row>
    <row r="2005" spans="1:7" ht="15">
      <c r="A2005" s="81" t="s">
        <v>2247</v>
      </c>
      <c r="B2005" s="80">
        <v>2</v>
      </c>
      <c r="C2005" s="104">
        <v>0.0012405082238900324</v>
      </c>
      <c r="D2005" s="80" t="s">
        <v>2186</v>
      </c>
      <c r="E2005" s="80" t="b">
        <v>0</v>
      </c>
      <c r="F2005" s="80" t="b">
        <v>0</v>
      </c>
      <c r="G2005" s="80" t="b">
        <v>0</v>
      </c>
    </row>
    <row r="2006" spans="1:7" ht="15">
      <c r="A2006" s="81" t="s">
        <v>2811</v>
      </c>
      <c r="B2006" s="80">
        <v>2</v>
      </c>
      <c r="C2006" s="104">
        <v>0.0012405082238900324</v>
      </c>
      <c r="D2006" s="80" t="s">
        <v>2186</v>
      </c>
      <c r="E2006" s="80" t="b">
        <v>0</v>
      </c>
      <c r="F2006" s="80" t="b">
        <v>0</v>
      </c>
      <c r="G2006" s="80" t="b">
        <v>0</v>
      </c>
    </row>
    <row r="2007" spans="1:7" ht="15">
      <c r="A2007" s="81" t="s">
        <v>3321</v>
      </c>
      <c r="B2007" s="80">
        <v>2</v>
      </c>
      <c r="C2007" s="104">
        <v>0.00165401096518671</v>
      </c>
      <c r="D2007" s="80" t="s">
        <v>2186</v>
      </c>
      <c r="E2007" s="80" t="b">
        <v>0</v>
      </c>
      <c r="F2007" s="80" t="b">
        <v>0</v>
      </c>
      <c r="G2007" s="80" t="b">
        <v>0</v>
      </c>
    </row>
    <row r="2008" spans="1:7" ht="15">
      <c r="A2008" s="81" t="s">
        <v>2443</v>
      </c>
      <c r="B2008" s="80">
        <v>2</v>
      </c>
      <c r="C2008" s="104">
        <v>0.0012405082238900324</v>
      </c>
      <c r="D2008" s="80" t="s">
        <v>2186</v>
      </c>
      <c r="E2008" s="80" t="b">
        <v>0</v>
      </c>
      <c r="F2008" s="80" t="b">
        <v>0</v>
      </c>
      <c r="G2008" s="80" t="b">
        <v>0</v>
      </c>
    </row>
    <row r="2009" spans="1:7" ht="15">
      <c r="A2009" s="81" t="s">
        <v>3102</v>
      </c>
      <c r="B2009" s="80">
        <v>2</v>
      </c>
      <c r="C2009" s="104">
        <v>0.0012405082238900324</v>
      </c>
      <c r="D2009" s="80" t="s">
        <v>2186</v>
      </c>
      <c r="E2009" s="80" t="b">
        <v>0</v>
      </c>
      <c r="F2009" s="80" t="b">
        <v>0</v>
      </c>
      <c r="G2009" s="80" t="b">
        <v>0</v>
      </c>
    </row>
    <row r="2010" spans="1:7" ht="15">
      <c r="A2010" s="81" t="s">
        <v>2648</v>
      </c>
      <c r="B2010" s="80">
        <v>2</v>
      </c>
      <c r="C2010" s="104">
        <v>0.00165401096518671</v>
      </c>
      <c r="D2010" s="80" t="s">
        <v>2186</v>
      </c>
      <c r="E2010" s="80" t="b">
        <v>0</v>
      </c>
      <c r="F2010" s="80" t="b">
        <v>0</v>
      </c>
      <c r="G2010" s="80" t="b">
        <v>0</v>
      </c>
    </row>
    <row r="2011" spans="1:7" ht="15">
      <c r="A2011" s="81" t="s">
        <v>3015</v>
      </c>
      <c r="B2011" s="80">
        <v>2</v>
      </c>
      <c r="C2011" s="104">
        <v>0.0012405082238900324</v>
      </c>
      <c r="D2011" s="80" t="s">
        <v>2186</v>
      </c>
      <c r="E2011" s="80" t="b">
        <v>0</v>
      </c>
      <c r="F2011" s="80" t="b">
        <v>0</v>
      </c>
      <c r="G2011" s="80" t="b">
        <v>0</v>
      </c>
    </row>
    <row r="2012" spans="1:7" ht="15">
      <c r="A2012" s="81" t="s">
        <v>2751</v>
      </c>
      <c r="B2012" s="80">
        <v>2</v>
      </c>
      <c r="C2012" s="104">
        <v>0.00165401096518671</v>
      </c>
      <c r="D2012" s="80" t="s">
        <v>2186</v>
      </c>
      <c r="E2012" s="80" t="b">
        <v>0</v>
      </c>
      <c r="F2012" s="80" t="b">
        <v>0</v>
      </c>
      <c r="G2012" s="80" t="b">
        <v>0</v>
      </c>
    </row>
    <row r="2013" spans="1:7" ht="15">
      <c r="A2013" s="81" t="s">
        <v>2356</v>
      </c>
      <c r="B2013" s="80">
        <v>2</v>
      </c>
      <c r="C2013" s="104">
        <v>0.0012405082238900324</v>
      </c>
      <c r="D2013" s="80" t="s">
        <v>2186</v>
      </c>
      <c r="E2013" s="80" t="b">
        <v>0</v>
      </c>
      <c r="F2013" s="80" t="b">
        <v>0</v>
      </c>
      <c r="G2013" s="80" t="b">
        <v>0</v>
      </c>
    </row>
    <row r="2014" spans="1:7" ht="15">
      <c r="A2014" s="81" t="s">
        <v>3021</v>
      </c>
      <c r="B2014" s="80">
        <v>2</v>
      </c>
      <c r="C2014" s="104">
        <v>0.0012405082238900324</v>
      </c>
      <c r="D2014" s="80" t="s">
        <v>2186</v>
      </c>
      <c r="E2014" s="80" t="b">
        <v>0</v>
      </c>
      <c r="F2014" s="80" t="b">
        <v>0</v>
      </c>
      <c r="G2014" s="80" t="b">
        <v>0</v>
      </c>
    </row>
    <row r="2015" spans="1:7" ht="15">
      <c r="A2015" s="81" t="s">
        <v>2945</v>
      </c>
      <c r="B2015" s="80">
        <v>2</v>
      </c>
      <c r="C2015" s="104">
        <v>0.00165401096518671</v>
      </c>
      <c r="D2015" s="80" t="s">
        <v>2186</v>
      </c>
      <c r="E2015" s="80" t="b">
        <v>0</v>
      </c>
      <c r="F2015" s="80" t="b">
        <v>0</v>
      </c>
      <c r="G2015" s="80" t="b">
        <v>0</v>
      </c>
    </row>
    <row r="2016" spans="1:7" ht="15">
      <c r="A2016" s="81" t="s">
        <v>2514</v>
      </c>
      <c r="B2016" s="80">
        <v>2</v>
      </c>
      <c r="C2016" s="104">
        <v>0.0012405082238900324</v>
      </c>
      <c r="D2016" s="80" t="s">
        <v>2186</v>
      </c>
      <c r="E2016" s="80" t="b">
        <v>0</v>
      </c>
      <c r="F2016" s="80" t="b">
        <v>0</v>
      </c>
      <c r="G2016" s="80" t="b">
        <v>0</v>
      </c>
    </row>
    <row r="2017" spans="1:7" ht="15">
      <c r="A2017" s="81" t="s">
        <v>2652</v>
      </c>
      <c r="B2017" s="80">
        <v>2</v>
      </c>
      <c r="C2017" s="104">
        <v>0.00165401096518671</v>
      </c>
      <c r="D2017" s="80" t="s">
        <v>2186</v>
      </c>
      <c r="E2017" s="80" t="b">
        <v>0</v>
      </c>
      <c r="F2017" s="80" t="b">
        <v>0</v>
      </c>
      <c r="G2017" s="80" t="b">
        <v>0</v>
      </c>
    </row>
    <row r="2018" spans="1:7" ht="15">
      <c r="A2018" s="81" t="s">
        <v>3105</v>
      </c>
      <c r="B2018" s="80">
        <v>2</v>
      </c>
      <c r="C2018" s="104">
        <v>0.00165401096518671</v>
      </c>
      <c r="D2018" s="80" t="s">
        <v>2186</v>
      </c>
      <c r="E2018" s="80" t="b">
        <v>0</v>
      </c>
      <c r="F2018" s="80" t="b">
        <v>0</v>
      </c>
      <c r="G2018" s="80" t="b">
        <v>0</v>
      </c>
    </row>
    <row r="2019" spans="1:7" ht="15">
      <c r="A2019" s="81" t="s">
        <v>2715</v>
      </c>
      <c r="B2019" s="80">
        <v>2</v>
      </c>
      <c r="C2019" s="104">
        <v>0.0012405082238900324</v>
      </c>
      <c r="D2019" s="80" t="s">
        <v>2186</v>
      </c>
      <c r="E2019" s="80" t="b">
        <v>0</v>
      </c>
      <c r="F2019" s="80" t="b">
        <v>0</v>
      </c>
      <c r="G2019" s="80" t="b">
        <v>0</v>
      </c>
    </row>
    <row r="2020" spans="1:7" ht="15">
      <c r="A2020" s="81" t="s">
        <v>2498</v>
      </c>
      <c r="B2020" s="80">
        <v>2</v>
      </c>
      <c r="C2020" s="104">
        <v>0.00165401096518671</v>
      </c>
      <c r="D2020" s="80" t="s">
        <v>2186</v>
      </c>
      <c r="E2020" s="80" t="b">
        <v>0</v>
      </c>
      <c r="F2020" s="80" t="b">
        <v>0</v>
      </c>
      <c r="G2020" s="80" t="b">
        <v>0</v>
      </c>
    </row>
    <row r="2021" spans="1:7" ht="15">
      <c r="A2021" s="81" t="s">
        <v>2986</v>
      </c>
      <c r="B2021" s="80">
        <v>2</v>
      </c>
      <c r="C2021" s="104">
        <v>0.00165401096518671</v>
      </c>
      <c r="D2021" s="80" t="s">
        <v>2186</v>
      </c>
      <c r="E2021" s="80" t="b">
        <v>0</v>
      </c>
      <c r="F2021" s="80" t="b">
        <v>0</v>
      </c>
      <c r="G2021" s="80" t="b">
        <v>0</v>
      </c>
    </row>
    <row r="2022" spans="1:7" ht="15">
      <c r="A2022" s="81" t="s">
        <v>2327</v>
      </c>
      <c r="B2022" s="80">
        <v>2</v>
      </c>
      <c r="C2022" s="104">
        <v>0.0012405082238900324</v>
      </c>
      <c r="D2022" s="80" t="s">
        <v>2186</v>
      </c>
      <c r="E2022" s="80" t="b">
        <v>0</v>
      </c>
      <c r="F2022" s="80" t="b">
        <v>0</v>
      </c>
      <c r="G2022" s="80" t="b">
        <v>0</v>
      </c>
    </row>
    <row r="2023" spans="1:7" ht="15">
      <c r="A2023" s="81" t="s">
        <v>2415</v>
      </c>
      <c r="B2023" s="80">
        <v>2</v>
      </c>
      <c r="C2023" s="104">
        <v>0.0012405082238900324</v>
      </c>
      <c r="D2023" s="80" t="s">
        <v>2186</v>
      </c>
      <c r="E2023" s="80" t="b">
        <v>0</v>
      </c>
      <c r="F2023" s="80" t="b">
        <v>0</v>
      </c>
      <c r="G2023" s="80" t="b">
        <v>0</v>
      </c>
    </row>
    <row r="2024" spans="1:7" ht="15">
      <c r="A2024" s="81" t="s">
        <v>3206</v>
      </c>
      <c r="B2024" s="80">
        <v>2</v>
      </c>
      <c r="C2024" s="104">
        <v>0.0012405082238900324</v>
      </c>
      <c r="D2024" s="80" t="s">
        <v>2186</v>
      </c>
      <c r="E2024" s="80" t="b">
        <v>1</v>
      </c>
      <c r="F2024" s="80" t="b">
        <v>0</v>
      </c>
      <c r="G2024" s="80" t="b">
        <v>0</v>
      </c>
    </row>
    <row r="2025" spans="1:7" ht="15">
      <c r="A2025" s="81" t="s">
        <v>2599</v>
      </c>
      <c r="B2025" s="80">
        <v>2</v>
      </c>
      <c r="C2025" s="104">
        <v>0.00165401096518671</v>
      </c>
      <c r="D2025" s="80" t="s">
        <v>2186</v>
      </c>
      <c r="E2025" s="80" t="b">
        <v>0</v>
      </c>
      <c r="F2025" s="80" t="b">
        <v>0</v>
      </c>
      <c r="G2025" s="80" t="b">
        <v>0</v>
      </c>
    </row>
    <row r="2026" spans="1:7" ht="15">
      <c r="A2026" s="81" t="s">
        <v>3336</v>
      </c>
      <c r="B2026" s="80">
        <v>2</v>
      </c>
      <c r="C2026" s="104">
        <v>0.00165401096518671</v>
      </c>
      <c r="D2026" s="80" t="s">
        <v>2186</v>
      </c>
      <c r="E2026" s="80" t="b">
        <v>0</v>
      </c>
      <c r="F2026" s="80" t="b">
        <v>0</v>
      </c>
      <c r="G2026" s="80" t="b">
        <v>0</v>
      </c>
    </row>
    <row r="2027" spans="1:7" ht="15">
      <c r="A2027" s="81" t="s">
        <v>2943</v>
      </c>
      <c r="B2027" s="80">
        <v>2</v>
      </c>
      <c r="C2027" s="104">
        <v>0.00165401096518671</v>
      </c>
      <c r="D2027" s="80" t="s">
        <v>2186</v>
      </c>
      <c r="E2027" s="80" t="b">
        <v>0</v>
      </c>
      <c r="F2027" s="80" t="b">
        <v>0</v>
      </c>
      <c r="G2027" s="80" t="b">
        <v>0</v>
      </c>
    </row>
    <row r="2028" spans="1:7" ht="15">
      <c r="A2028" s="81" t="s">
        <v>2360</v>
      </c>
      <c r="B2028" s="80">
        <v>2</v>
      </c>
      <c r="C2028" s="104">
        <v>0.00165401096518671</v>
      </c>
      <c r="D2028" s="80" t="s">
        <v>2186</v>
      </c>
      <c r="E2028" s="80" t="b">
        <v>0</v>
      </c>
      <c r="F2028" s="80" t="b">
        <v>0</v>
      </c>
      <c r="G2028" s="80" t="b">
        <v>0</v>
      </c>
    </row>
    <row r="2029" spans="1:7" ht="15">
      <c r="A2029" s="81" t="s">
        <v>3263</v>
      </c>
      <c r="B2029" s="80">
        <v>2</v>
      </c>
      <c r="C2029" s="104">
        <v>0.0012405082238900324</v>
      </c>
      <c r="D2029" s="80" t="s">
        <v>2186</v>
      </c>
      <c r="E2029" s="80" t="b">
        <v>0</v>
      </c>
      <c r="F2029" s="80" t="b">
        <v>0</v>
      </c>
      <c r="G2029" s="80" t="b">
        <v>0</v>
      </c>
    </row>
    <row r="2030" spans="1:7" ht="15">
      <c r="A2030" s="81" t="s">
        <v>2301</v>
      </c>
      <c r="B2030" s="80">
        <v>2</v>
      </c>
      <c r="C2030" s="104">
        <v>0.0012405082238900324</v>
      </c>
      <c r="D2030" s="80" t="s">
        <v>2186</v>
      </c>
      <c r="E2030" s="80" t="b">
        <v>0</v>
      </c>
      <c r="F2030" s="80" t="b">
        <v>0</v>
      </c>
      <c r="G2030" s="80" t="b">
        <v>0</v>
      </c>
    </row>
    <row r="2031" spans="1:7" ht="15">
      <c r="A2031" s="81" t="s">
        <v>2433</v>
      </c>
      <c r="B2031" s="80">
        <v>2</v>
      </c>
      <c r="C2031" s="104">
        <v>0.00165401096518671</v>
      </c>
      <c r="D2031" s="80" t="s">
        <v>2186</v>
      </c>
      <c r="E2031" s="80" t="b">
        <v>0</v>
      </c>
      <c r="F2031" s="80" t="b">
        <v>0</v>
      </c>
      <c r="G2031" s="80" t="b">
        <v>0</v>
      </c>
    </row>
    <row r="2032" spans="1:7" ht="15">
      <c r="A2032" s="81" t="s">
        <v>2400</v>
      </c>
      <c r="B2032" s="80">
        <v>2</v>
      </c>
      <c r="C2032" s="104">
        <v>0.0012405082238900324</v>
      </c>
      <c r="D2032" s="80" t="s">
        <v>2186</v>
      </c>
      <c r="E2032" s="80" t="b">
        <v>0</v>
      </c>
      <c r="F2032" s="80" t="b">
        <v>0</v>
      </c>
      <c r="G2032" s="80" t="b">
        <v>0</v>
      </c>
    </row>
    <row r="2033" spans="1:7" ht="15">
      <c r="A2033" s="81" t="s">
        <v>3099</v>
      </c>
      <c r="B2033" s="80">
        <v>2</v>
      </c>
      <c r="C2033" s="104">
        <v>0.0012405082238900324</v>
      </c>
      <c r="D2033" s="80" t="s">
        <v>2186</v>
      </c>
      <c r="E2033" s="80" t="b">
        <v>0</v>
      </c>
      <c r="F2033" s="80" t="b">
        <v>0</v>
      </c>
      <c r="G2033" s="80" t="b">
        <v>0</v>
      </c>
    </row>
    <row r="2034" spans="1:7" ht="15">
      <c r="A2034" s="81" t="s">
        <v>3357</v>
      </c>
      <c r="B2034" s="80">
        <v>2</v>
      </c>
      <c r="C2034" s="104">
        <v>0.0012405082238900324</v>
      </c>
      <c r="D2034" s="80" t="s">
        <v>2186</v>
      </c>
      <c r="E2034" s="80" t="b">
        <v>0</v>
      </c>
      <c r="F2034" s="80" t="b">
        <v>0</v>
      </c>
      <c r="G2034" s="80" t="b">
        <v>0</v>
      </c>
    </row>
    <row r="2035" spans="1:7" ht="15">
      <c r="A2035" s="81" t="s">
        <v>3126</v>
      </c>
      <c r="B2035" s="80">
        <v>2</v>
      </c>
      <c r="C2035" s="104">
        <v>0.0012405082238900324</v>
      </c>
      <c r="D2035" s="80" t="s">
        <v>2186</v>
      </c>
      <c r="E2035" s="80" t="b">
        <v>0</v>
      </c>
      <c r="F2035" s="80" t="b">
        <v>0</v>
      </c>
      <c r="G2035" s="80" t="b">
        <v>0</v>
      </c>
    </row>
    <row r="2036" spans="1:7" ht="15">
      <c r="A2036" s="81" t="s">
        <v>2305</v>
      </c>
      <c r="B2036" s="80">
        <v>2</v>
      </c>
      <c r="C2036" s="104">
        <v>0.0012405082238900324</v>
      </c>
      <c r="D2036" s="80" t="s">
        <v>2186</v>
      </c>
      <c r="E2036" s="80" t="b">
        <v>0</v>
      </c>
      <c r="F2036" s="80" t="b">
        <v>0</v>
      </c>
      <c r="G2036" s="80" t="b">
        <v>0</v>
      </c>
    </row>
    <row r="2037" spans="1:7" ht="15">
      <c r="A2037" s="81" t="s">
        <v>2983</v>
      </c>
      <c r="B2037" s="80">
        <v>2</v>
      </c>
      <c r="C2037" s="104">
        <v>0.0012405082238900324</v>
      </c>
      <c r="D2037" s="80" t="s">
        <v>2186</v>
      </c>
      <c r="E2037" s="80" t="b">
        <v>1</v>
      </c>
      <c r="F2037" s="80" t="b">
        <v>0</v>
      </c>
      <c r="G2037" s="80" t="b">
        <v>0</v>
      </c>
    </row>
    <row r="2038" spans="1:7" ht="15">
      <c r="A2038" s="81" t="s">
        <v>2546</v>
      </c>
      <c r="B2038" s="80">
        <v>2</v>
      </c>
      <c r="C2038" s="104">
        <v>0.0012405082238900324</v>
      </c>
      <c r="D2038" s="80" t="s">
        <v>2186</v>
      </c>
      <c r="E2038" s="80" t="b">
        <v>1</v>
      </c>
      <c r="F2038" s="80" t="b">
        <v>0</v>
      </c>
      <c r="G2038" s="80" t="b">
        <v>0</v>
      </c>
    </row>
    <row r="2039" spans="1:7" ht="15">
      <c r="A2039" s="81" t="s">
        <v>2264</v>
      </c>
      <c r="B2039" s="80">
        <v>2</v>
      </c>
      <c r="C2039" s="104">
        <v>0.0012405082238900324</v>
      </c>
      <c r="D2039" s="80" t="s">
        <v>2186</v>
      </c>
      <c r="E2039" s="80" t="b">
        <v>0</v>
      </c>
      <c r="F2039" s="80" t="b">
        <v>0</v>
      </c>
      <c r="G2039" s="80" t="b">
        <v>0</v>
      </c>
    </row>
    <row r="2040" spans="1:7" ht="15">
      <c r="A2040" s="81" t="s">
        <v>2461</v>
      </c>
      <c r="B2040" s="80">
        <v>2</v>
      </c>
      <c r="C2040" s="104">
        <v>0.0012405082238900324</v>
      </c>
      <c r="D2040" s="80" t="s">
        <v>2186</v>
      </c>
      <c r="E2040" s="80" t="b">
        <v>0</v>
      </c>
      <c r="F2040" s="80" t="b">
        <v>0</v>
      </c>
      <c r="G2040" s="80" t="b">
        <v>0</v>
      </c>
    </row>
    <row r="2041" spans="1:7" ht="15">
      <c r="A2041" s="81" t="s">
        <v>2227</v>
      </c>
      <c r="B2041" s="80">
        <v>43</v>
      </c>
      <c r="C2041" s="104">
        <v>0.012118569669190947</v>
      </c>
      <c r="D2041" s="80" t="s">
        <v>2187</v>
      </c>
      <c r="E2041" s="80" t="b">
        <v>0</v>
      </c>
      <c r="F2041" s="80" t="b">
        <v>0</v>
      </c>
      <c r="G2041" s="80" t="b">
        <v>0</v>
      </c>
    </row>
    <row r="2042" spans="1:7" ht="15">
      <c r="A2042" s="81" t="s">
        <v>2220</v>
      </c>
      <c r="B2042" s="80">
        <v>21</v>
      </c>
      <c r="C2042" s="104">
        <v>0.00853729222541225</v>
      </c>
      <c r="D2042" s="80" t="s">
        <v>2187</v>
      </c>
      <c r="E2042" s="80" t="b">
        <v>0</v>
      </c>
      <c r="F2042" s="80" t="b">
        <v>0</v>
      </c>
      <c r="G2042" s="80" t="b">
        <v>0</v>
      </c>
    </row>
    <row r="2043" spans="1:7" ht="15">
      <c r="A2043" s="81" t="s">
        <v>2262</v>
      </c>
      <c r="B2043" s="80">
        <v>17</v>
      </c>
      <c r="C2043" s="104">
        <v>0.010535440139985057</v>
      </c>
      <c r="D2043" s="80" t="s">
        <v>2187</v>
      </c>
      <c r="E2043" s="80" t="b">
        <v>0</v>
      </c>
      <c r="F2043" s="80" t="b">
        <v>0</v>
      </c>
      <c r="G2043" s="80" t="b">
        <v>0</v>
      </c>
    </row>
    <row r="2044" spans="1:7" ht="15">
      <c r="A2044" s="81" t="s">
        <v>2244</v>
      </c>
      <c r="B2044" s="80">
        <v>16</v>
      </c>
      <c r="C2044" s="104">
        <v>0.009915708367044761</v>
      </c>
      <c r="D2044" s="80" t="s">
        <v>2187</v>
      </c>
      <c r="E2044" s="80" t="b">
        <v>0</v>
      </c>
      <c r="F2044" s="80" t="b">
        <v>0</v>
      </c>
      <c r="G2044" s="80" t="b">
        <v>0</v>
      </c>
    </row>
    <row r="2045" spans="1:7" ht="15">
      <c r="A2045" s="81" t="s">
        <v>2293</v>
      </c>
      <c r="B2045" s="80">
        <v>14</v>
      </c>
      <c r="C2045" s="104">
        <v>0.005691528150274833</v>
      </c>
      <c r="D2045" s="80" t="s">
        <v>2187</v>
      </c>
      <c r="E2045" s="80" t="b">
        <v>0</v>
      </c>
      <c r="F2045" s="80" t="b">
        <v>0</v>
      </c>
      <c r="G2045" s="80" t="b">
        <v>0</v>
      </c>
    </row>
    <row r="2046" spans="1:7" ht="15">
      <c r="A2046" s="81" t="s">
        <v>2298</v>
      </c>
      <c r="B2046" s="80">
        <v>11</v>
      </c>
      <c r="C2046" s="104">
        <v>0.006817049502343272</v>
      </c>
      <c r="D2046" s="80" t="s">
        <v>2187</v>
      </c>
      <c r="E2046" s="80" t="b">
        <v>0</v>
      </c>
      <c r="F2046" s="80" t="b">
        <v>0</v>
      </c>
      <c r="G2046" s="80" t="b">
        <v>0</v>
      </c>
    </row>
    <row r="2047" spans="1:7" ht="15">
      <c r="A2047" s="81" t="s">
        <v>2213</v>
      </c>
      <c r="B2047" s="80">
        <v>11</v>
      </c>
      <c r="C2047" s="104">
        <v>0.0017282834601840794</v>
      </c>
      <c r="D2047" s="80" t="s">
        <v>2187</v>
      </c>
      <c r="E2047" s="80" t="b">
        <v>0</v>
      </c>
      <c r="F2047" s="80" t="b">
        <v>0</v>
      </c>
      <c r="G2047" s="80" t="b">
        <v>0</v>
      </c>
    </row>
    <row r="2048" spans="1:7" ht="15">
      <c r="A2048" s="81" t="s">
        <v>2241</v>
      </c>
      <c r="B2048" s="80">
        <v>10</v>
      </c>
      <c r="C2048" s="104">
        <v>0.0061973177294029754</v>
      </c>
      <c r="D2048" s="80" t="s">
        <v>2187</v>
      </c>
      <c r="E2048" s="80" t="b">
        <v>0</v>
      </c>
      <c r="F2048" s="80" t="b">
        <v>0</v>
      </c>
      <c r="G2048" s="80" t="b">
        <v>0</v>
      </c>
    </row>
    <row r="2049" spans="1:7" ht="15">
      <c r="A2049" s="81" t="s">
        <v>2230</v>
      </c>
      <c r="B2049" s="80">
        <v>10</v>
      </c>
      <c r="C2049" s="104">
        <v>0.004065377250196309</v>
      </c>
      <c r="D2049" s="80" t="s">
        <v>2187</v>
      </c>
      <c r="E2049" s="80" t="b">
        <v>0</v>
      </c>
      <c r="F2049" s="80" t="b">
        <v>0</v>
      </c>
      <c r="G2049" s="80" t="b">
        <v>0</v>
      </c>
    </row>
    <row r="2050" spans="1:7" ht="15">
      <c r="A2050" s="81" t="s">
        <v>2285</v>
      </c>
      <c r="B2050" s="80">
        <v>10</v>
      </c>
      <c r="C2050" s="104">
        <v>0.004950212495297584</v>
      </c>
      <c r="D2050" s="80" t="s">
        <v>2187</v>
      </c>
      <c r="E2050" s="80" t="b">
        <v>0</v>
      </c>
      <c r="F2050" s="80" t="b">
        <v>0</v>
      </c>
      <c r="G2050" s="80" t="b">
        <v>0</v>
      </c>
    </row>
    <row r="2051" spans="1:7" ht="15">
      <c r="A2051" s="81" t="s">
        <v>2319</v>
      </c>
      <c r="B2051" s="80">
        <v>9</v>
      </c>
      <c r="C2051" s="104">
        <v>0.004455191245767825</v>
      </c>
      <c r="D2051" s="80" t="s">
        <v>2187</v>
      </c>
      <c r="E2051" s="80" t="b">
        <v>0</v>
      </c>
      <c r="F2051" s="80" t="b">
        <v>0</v>
      </c>
      <c r="G2051" s="80" t="b">
        <v>0</v>
      </c>
    </row>
    <row r="2052" spans="1:7" ht="15">
      <c r="A2052" s="81" t="s">
        <v>2289</v>
      </c>
      <c r="B2052" s="80">
        <v>9</v>
      </c>
      <c r="C2052" s="104">
        <v>0.004455191245767825</v>
      </c>
      <c r="D2052" s="80" t="s">
        <v>2187</v>
      </c>
      <c r="E2052" s="80" t="b">
        <v>0</v>
      </c>
      <c r="F2052" s="80" t="b">
        <v>0</v>
      </c>
      <c r="G2052" s="80" t="b">
        <v>0</v>
      </c>
    </row>
    <row r="2053" spans="1:7" ht="15">
      <c r="A2053" s="81" t="s">
        <v>2388</v>
      </c>
      <c r="B2053" s="80">
        <v>8</v>
      </c>
      <c r="C2053" s="104">
        <v>0.006663406566887713</v>
      </c>
      <c r="D2053" s="80" t="s">
        <v>2187</v>
      </c>
      <c r="E2053" s="80" t="b">
        <v>0</v>
      </c>
      <c r="F2053" s="80" t="b">
        <v>0</v>
      </c>
      <c r="G2053" s="80" t="b">
        <v>0</v>
      </c>
    </row>
    <row r="2054" spans="1:7" ht="15">
      <c r="A2054" s="81" t="s">
        <v>2225</v>
      </c>
      <c r="B2054" s="80">
        <v>8</v>
      </c>
      <c r="C2054" s="104">
        <v>0.0018753156886199686</v>
      </c>
      <c r="D2054" s="80" t="s">
        <v>2187</v>
      </c>
      <c r="E2054" s="80" t="b">
        <v>0</v>
      </c>
      <c r="F2054" s="80" t="b">
        <v>0</v>
      </c>
      <c r="G2054" s="80" t="b">
        <v>0</v>
      </c>
    </row>
    <row r="2055" spans="1:7" ht="15">
      <c r="A2055" s="81" t="s">
        <v>2255</v>
      </c>
      <c r="B2055" s="80">
        <v>8</v>
      </c>
      <c r="C2055" s="104">
        <v>0.006663406566887713</v>
      </c>
      <c r="D2055" s="80" t="s">
        <v>2187</v>
      </c>
      <c r="E2055" s="80" t="b">
        <v>1</v>
      </c>
      <c r="F2055" s="80" t="b">
        <v>0</v>
      </c>
      <c r="G2055" s="80" t="b">
        <v>0</v>
      </c>
    </row>
    <row r="2056" spans="1:7" ht="15">
      <c r="A2056" s="81" t="s">
        <v>2386</v>
      </c>
      <c r="B2056" s="80">
        <v>8</v>
      </c>
      <c r="C2056" s="104">
        <v>0.006663406566887713</v>
      </c>
      <c r="D2056" s="80" t="s">
        <v>2187</v>
      </c>
      <c r="E2056" s="80" t="b">
        <v>0</v>
      </c>
      <c r="F2056" s="80" t="b">
        <v>0</v>
      </c>
      <c r="G2056" s="80" t="b">
        <v>0</v>
      </c>
    </row>
    <row r="2057" spans="1:7" ht="15">
      <c r="A2057" s="81" t="s">
        <v>2222</v>
      </c>
      <c r="B2057" s="80">
        <v>8</v>
      </c>
      <c r="C2057" s="104">
        <v>0.0018753156886199686</v>
      </c>
      <c r="D2057" s="80" t="s">
        <v>2187</v>
      </c>
      <c r="E2057" s="80" t="b">
        <v>0</v>
      </c>
      <c r="F2057" s="80" t="b">
        <v>0</v>
      </c>
      <c r="G2057" s="80" t="b">
        <v>0</v>
      </c>
    </row>
    <row r="2058" spans="1:7" ht="15">
      <c r="A2058" s="81" t="s">
        <v>2224</v>
      </c>
      <c r="B2058" s="80">
        <v>8</v>
      </c>
      <c r="C2058" s="104">
        <v>0.0018753156886199686</v>
      </c>
      <c r="D2058" s="80" t="s">
        <v>2187</v>
      </c>
      <c r="E2058" s="80" t="b">
        <v>0</v>
      </c>
      <c r="F2058" s="80" t="b">
        <v>0</v>
      </c>
      <c r="G2058" s="80" t="b">
        <v>0</v>
      </c>
    </row>
    <row r="2059" spans="1:7" ht="15">
      <c r="A2059" s="81" t="s">
        <v>2377</v>
      </c>
      <c r="B2059" s="80">
        <v>8</v>
      </c>
      <c r="C2059" s="104">
        <v>0.004957854183522381</v>
      </c>
      <c r="D2059" s="80" t="s">
        <v>2187</v>
      </c>
      <c r="E2059" s="80" t="b">
        <v>0</v>
      </c>
      <c r="F2059" s="80" t="b">
        <v>0</v>
      </c>
      <c r="G2059" s="80" t="b">
        <v>0</v>
      </c>
    </row>
    <row r="2060" spans="1:7" ht="15">
      <c r="A2060" s="81" t="s">
        <v>2418</v>
      </c>
      <c r="B2060" s="80">
        <v>7</v>
      </c>
      <c r="C2060" s="104">
        <v>0.005830480746026749</v>
      </c>
      <c r="D2060" s="80" t="s">
        <v>2187</v>
      </c>
      <c r="E2060" s="80" t="b">
        <v>0</v>
      </c>
      <c r="F2060" s="80" t="b">
        <v>0</v>
      </c>
      <c r="G2060" s="80" t="b">
        <v>0</v>
      </c>
    </row>
    <row r="2061" spans="1:7" ht="15">
      <c r="A2061" s="81" t="s">
        <v>2342</v>
      </c>
      <c r="B2061" s="80">
        <v>7</v>
      </c>
      <c r="C2061" s="104">
        <v>0.005830480746026749</v>
      </c>
      <c r="D2061" s="80" t="s">
        <v>2187</v>
      </c>
      <c r="E2061" s="80" t="b">
        <v>1</v>
      </c>
      <c r="F2061" s="80" t="b">
        <v>0</v>
      </c>
      <c r="G2061" s="80" t="b">
        <v>0</v>
      </c>
    </row>
    <row r="2062" spans="1:7" ht="15">
      <c r="A2062" s="81" t="s">
        <v>2395</v>
      </c>
      <c r="B2062" s="80">
        <v>7</v>
      </c>
      <c r="C2062" s="104">
        <v>0.005830480746026749</v>
      </c>
      <c r="D2062" s="80" t="s">
        <v>2187</v>
      </c>
      <c r="E2062" s="80" t="b">
        <v>0</v>
      </c>
      <c r="F2062" s="80" t="b">
        <v>0</v>
      </c>
      <c r="G2062" s="80" t="b">
        <v>0</v>
      </c>
    </row>
    <row r="2063" spans="1:7" ht="15">
      <c r="A2063" s="81" t="s">
        <v>2416</v>
      </c>
      <c r="B2063" s="80">
        <v>7</v>
      </c>
      <c r="C2063" s="104">
        <v>0.005830480746026749</v>
      </c>
      <c r="D2063" s="80" t="s">
        <v>2187</v>
      </c>
      <c r="E2063" s="80" t="b">
        <v>0</v>
      </c>
      <c r="F2063" s="80" t="b">
        <v>0</v>
      </c>
      <c r="G2063" s="80" t="b">
        <v>0</v>
      </c>
    </row>
    <row r="2064" spans="1:7" ht="15">
      <c r="A2064" s="81" t="s">
        <v>2247</v>
      </c>
      <c r="B2064" s="80">
        <v>7</v>
      </c>
      <c r="C2064" s="104">
        <v>0.0023653319993184397</v>
      </c>
      <c r="D2064" s="80" t="s">
        <v>2187</v>
      </c>
      <c r="E2064" s="80" t="b">
        <v>0</v>
      </c>
      <c r="F2064" s="80" t="b">
        <v>0</v>
      </c>
      <c r="G2064" s="80" t="b">
        <v>0</v>
      </c>
    </row>
    <row r="2065" spans="1:7" ht="15">
      <c r="A2065" s="81" t="s">
        <v>2401</v>
      </c>
      <c r="B2065" s="80">
        <v>7</v>
      </c>
      <c r="C2065" s="104">
        <v>0.003465148746708309</v>
      </c>
      <c r="D2065" s="80" t="s">
        <v>2187</v>
      </c>
      <c r="E2065" s="80" t="b">
        <v>0</v>
      </c>
      <c r="F2065" s="80" t="b">
        <v>0</v>
      </c>
      <c r="G2065" s="80" t="b">
        <v>0</v>
      </c>
    </row>
    <row r="2066" spans="1:7" ht="15">
      <c r="A2066" s="81" t="s">
        <v>2441</v>
      </c>
      <c r="B2066" s="80">
        <v>6</v>
      </c>
      <c r="C2066" s="104">
        <v>0.002970127497178551</v>
      </c>
      <c r="D2066" s="80" t="s">
        <v>2187</v>
      </c>
      <c r="E2066" s="80" t="b">
        <v>0</v>
      </c>
      <c r="F2066" s="80" t="b">
        <v>0</v>
      </c>
      <c r="G2066" s="80" t="b">
        <v>0</v>
      </c>
    </row>
    <row r="2067" spans="1:7" ht="15">
      <c r="A2067" s="81" t="s">
        <v>2413</v>
      </c>
      <c r="B2067" s="80">
        <v>6</v>
      </c>
      <c r="C2067" s="104">
        <v>0.0049975549251657855</v>
      </c>
      <c r="D2067" s="80" t="s">
        <v>2187</v>
      </c>
      <c r="E2067" s="80" t="b">
        <v>0</v>
      </c>
      <c r="F2067" s="80" t="b">
        <v>0</v>
      </c>
      <c r="G2067" s="80" t="b">
        <v>0</v>
      </c>
    </row>
    <row r="2068" spans="1:7" ht="15">
      <c r="A2068" s="81" t="s">
        <v>2214</v>
      </c>
      <c r="B2068" s="80">
        <v>6</v>
      </c>
      <c r="C2068" s="104">
        <v>0.0016909632096545509</v>
      </c>
      <c r="D2068" s="80" t="s">
        <v>2187</v>
      </c>
      <c r="E2068" s="80" t="b">
        <v>0</v>
      </c>
      <c r="F2068" s="80" t="b">
        <v>0</v>
      </c>
      <c r="G2068" s="80" t="b">
        <v>0</v>
      </c>
    </row>
    <row r="2069" spans="1:7" ht="15">
      <c r="A2069" s="81" t="s">
        <v>2449</v>
      </c>
      <c r="B2069" s="80">
        <v>6</v>
      </c>
      <c r="C2069" s="104">
        <v>0.0049975549251657855</v>
      </c>
      <c r="D2069" s="80" t="s">
        <v>2187</v>
      </c>
      <c r="E2069" s="80" t="b">
        <v>0</v>
      </c>
      <c r="F2069" s="80" t="b">
        <v>0</v>
      </c>
      <c r="G2069" s="80" t="b">
        <v>0</v>
      </c>
    </row>
    <row r="2070" spans="1:7" ht="15">
      <c r="A2070" s="81" t="s">
        <v>2345</v>
      </c>
      <c r="B2070" s="80">
        <v>6</v>
      </c>
      <c r="C2070" s="104">
        <v>0.0037183906376417855</v>
      </c>
      <c r="D2070" s="80" t="s">
        <v>2187</v>
      </c>
      <c r="E2070" s="80" t="b">
        <v>0</v>
      </c>
      <c r="F2070" s="80" t="b">
        <v>0</v>
      </c>
      <c r="G2070" s="80" t="b">
        <v>0</v>
      </c>
    </row>
    <row r="2071" spans="1:7" ht="15">
      <c r="A2071" s="81" t="s">
        <v>2465</v>
      </c>
      <c r="B2071" s="80">
        <v>6</v>
      </c>
      <c r="C2071" s="104">
        <v>0.0049975549251657855</v>
      </c>
      <c r="D2071" s="80" t="s">
        <v>2187</v>
      </c>
      <c r="E2071" s="80" t="b">
        <v>0</v>
      </c>
      <c r="F2071" s="80" t="b">
        <v>0</v>
      </c>
      <c r="G2071" s="80" t="b">
        <v>0</v>
      </c>
    </row>
    <row r="2072" spans="1:7" ht="15">
      <c r="A2072" s="81" t="s">
        <v>2349</v>
      </c>
      <c r="B2072" s="80">
        <v>6</v>
      </c>
      <c r="C2072" s="104">
        <v>0.0049975549251657855</v>
      </c>
      <c r="D2072" s="80" t="s">
        <v>2187</v>
      </c>
      <c r="E2072" s="80" t="b">
        <v>0</v>
      </c>
      <c r="F2072" s="80" t="b">
        <v>0</v>
      </c>
      <c r="G2072" s="80" t="b">
        <v>0</v>
      </c>
    </row>
    <row r="2073" spans="1:7" ht="15">
      <c r="A2073" s="81" t="s">
        <v>2276</v>
      </c>
      <c r="B2073" s="80">
        <v>6</v>
      </c>
      <c r="C2073" s="104">
        <v>0.0037183906376417855</v>
      </c>
      <c r="D2073" s="80" t="s">
        <v>2187</v>
      </c>
      <c r="E2073" s="80" t="b">
        <v>0</v>
      </c>
      <c r="F2073" s="80" t="b">
        <v>0</v>
      </c>
      <c r="G2073" s="80" t="b">
        <v>0</v>
      </c>
    </row>
    <row r="2074" spans="1:7" ht="15">
      <c r="A2074" s="81" t="s">
        <v>2228</v>
      </c>
      <c r="B2074" s="80">
        <v>6</v>
      </c>
      <c r="C2074" s="104">
        <v>0.0037183906376417855</v>
      </c>
      <c r="D2074" s="80" t="s">
        <v>2187</v>
      </c>
      <c r="E2074" s="80" t="b">
        <v>0</v>
      </c>
      <c r="F2074" s="80" t="b">
        <v>0</v>
      </c>
      <c r="G2074" s="80" t="b">
        <v>0</v>
      </c>
    </row>
    <row r="2075" spans="1:7" ht="15">
      <c r="A2075" s="81" t="s">
        <v>2252</v>
      </c>
      <c r="B2075" s="80">
        <v>5</v>
      </c>
      <c r="C2075" s="104">
        <v>0.0030986588647014877</v>
      </c>
      <c r="D2075" s="80" t="s">
        <v>2187</v>
      </c>
      <c r="E2075" s="80" t="b">
        <v>0</v>
      </c>
      <c r="F2075" s="80" t="b">
        <v>0</v>
      </c>
      <c r="G2075" s="80" t="b">
        <v>0</v>
      </c>
    </row>
    <row r="2076" spans="1:7" ht="15">
      <c r="A2076" s="81" t="s">
        <v>2251</v>
      </c>
      <c r="B2076" s="80">
        <v>5</v>
      </c>
      <c r="C2076" s="104">
        <v>0.0030986588647014877</v>
      </c>
      <c r="D2076" s="80" t="s">
        <v>2187</v>
      </c>
      <c r="E2076" s="80" t="b">
        <v>0</v>
      </c>
      <c r="F2076" s="80" t="b">
        <v>0</v>
      </c>
      <c r="G2076" s="80" t="b">
        <v>0</v>
      </c>
    </row>
    <row r="2077" spans="1:7" ht="15">
      <c r="A2077" s="81" t="s">
        <v>2430</v>
      </c>
      <c r="B2077" s="80">
        <v>5</v>
      </c>
      <c r="C2077" s="104">
        <v>0.0020326886250981546</v>
      </c>
      <c r="D2077" s="80" t="s">
        <v>2187</v>
      </c>
      <c r="E2077" s="80" t="b">
        <v>0</v>
      </c>
      <c r="F2077" s="80" t="b">
        <v>0</v>
      </c>
      <c r="G2077" s="80" t="b">
        <v>0</v>
      </c>
    </row>
    <row r="2078" spans="1:7" ht="15">
      <c r="A2078" s="81" t="s">
        <v>2432</v>
      </c>
      <c r="B2078" s="80">
        <v>5</v>
      </c>
      <c r="C2078" s="104">
        <v>0.00416462910430482</v>
      </c>
      <c r="D2078" s="80" t="s">
        <v>2187</v>
      </c>
      <c r="E2078" s="80" t="b">
        <v>0</v>
      </c>
      <c r="F2078" s="80" t="b">
        <v>0</v>
      </c>
      <c r="G2078" s="80" t="b">
        <v>0</v>
      </c>
    </row>
    <row r="2079" spans="1:7" ht="15">
      <c r="A2079" s="81" t="s">
        <v>2218</v>
      </c>
      <c r="B2079" s="80">
        <v>5</v>
      </c>
      <c r="C2079" s="104">
        <v>0.0030986588647014877</v>
      </c>
      <c r="D2079" s="80" t="s">
        <v>2187</v>
      </c>
      <c r="E2079" s="80" t="b">
        <v>0</v>
      </c>
      <c r="F2079" s="80" t="b">
        <v>0</v>
      </c>
      <c r="G2079" s="80" t="b">
        <v>0</v>
      </c>
    </row>
    <row r="2080" spans="1:7" ht="15">
      <c r="A2080" s="81" t="s">
        <v>2267</v>
      </c>
      <c r="B2080" s="80">
        <v>5</v>
      </c>
      <c r="C2080" s="104">
        <v>0.0030986588647014877</v>
      </c>
      <c r="D2080" s="80" t="s">
        <v>2187</v>
      </c>
      <c r="E2080" s="80" t="b">
        <v>0</v>
      </c>
      <c r="F2080" s="80" t="b">
        <v>0</v>
      </c>
      <c r="G2080" s="80" t="b">
        <v>0</v>
      </c>
    </row>
    <row r="2081" spans="1:7" ht="15">
      <c r="A2081" s="81" t="s">
        <v>2374</v>
      </c>
      <c r="B2081" s="80">
        <v>5</v>
      </c>
      <c r="C2081" s="104">
        <v>0.00416462910430482</v>
      </c>
      <c r="D2081" s="80" t="s">
        <v>2187</v>
      </c>
      <c r="E2081" s="80" t="b">
        <v>0</v>
      </c>
      <c r="F2081" s="80" t="b">
        <v>0</v>
      </c>
      <c r="G2081" s="80" t="b">
        <v>0</v>
      </c>
    </row>
    <row r="2082" spans="1:7" ht="15">
      <c r="A2082" s="81" t="s">
        <v>2487</v>
      </c>
      <c r="B2082" s="80">
        <v>5</v>
      </c>
      <c r="C2082" s="104">
        <v>0.00416462910430482</v>
      </c>
      <c r="D2082" s="80" t="s">
        <v>2187</v>
      </c>
      <c r="E2082" s="80" t="b">
        <v>0</v>
      </c>
      <c r="F2082" s="80" t="b">
        <v>0</v>
      </c>
      <c r="G2082" s="80" t="b">
        <v>0</v>
      </c>
    </row>
    <row r="2083" spans="1:7" ht="15">
      <c r="A2083" s="81" t="s">
        <v>2552</v>
      </c>
      <c r="B2083" s="80">
        <v>5</v>
      </c>
      <c r="C2083" s="104">
        <v>0.00416462910430482</v>
      </c>
      <c r="D2083" s="80" t="s">
        <v>2187</v>
      </c>
      <c r="E2083" s="80" t="b">
        <v>0</v>
      </c>
      <c r="F2083" s="80" t="b">
        <v>0</v>
      </c>
      <c r="G2083" s="80" t="b">
        <v>0</v>
      </c>
    </row>
    <row r="2084" spans="1:7" ht="15">
      <c r="A2084" s="81" t="s">
        <v>2539</v>
      </c>
      <c r="B2084" s="80">
        <v>5</v>
      </c>
      <c r="C2084" s="104">
        <v>0.00416462910430482</v>
      </c>
      <c r="D2084" s="80" t="s">
        <v>2187</v>
      </c>
      <c r="E2084" s="80" t="b">
        <v>0</v>
      </c>
      <c r="F2084" s="80" t="b">
        <v>0</v>
      </c>
      <c r="G2084" s="80" t="b">
        <v>0</v>
      </c>
    </row>
    <row r="2085" spans="1:7" ht="15">
      <c r="A2085" s="81" t="s">
        <v>2503</v>
      </c>
      <c r="B2085" s="80">
        <v>5</v>
      </c>
      <c r="C2085" s="104">
        <v>0.00416462910430482</v>
      </c>
      <c r="D2085" s="80" t="s">
        <v>2187</v>
      </c>
      <c r="E2085" s="80" t="b">
        <v>0</v>
      </c>
      <c r="F2085" s="80" t="b">
        <v>0</v>
      </c>
      <c r="G2085" s="80" t="b">
        <v>0</v>
      </c>
    </row>
    <row r="2086" spans="1:7" ht="15">
      <c r="A2086" s="81" t="s">
        <v>2436</v>
      </c>
      <c r="B2086" s="80">
        <v>5</v>
      </c>
      <c r="C2086" s="104">
        <v>0.0030986588647014877</v>
      </c>
      <c r="D2086" s="80" t="s">
        <v>2187</v>
      </c>
      <c r="E2086" s="80" t="b">
        <v>0</v>
      </c>
      <c r="F2086" s="80" t="b">
        <v>0</v>
      </c>
      <c r="G2086" s="80" t="b">
        <v>0</v>
      </c>
    </row>
    <row r="2087" spans="1:7" ht="15">
      <c r="A2087" s="81" t="s">
        <v>2216</v>
      </c>
      <c r="B2087" s="80">
        <v>5</v>
      </c>
      <c r="C2087" s="104">
        <v>0.0030986588647014877</v>
      </c>
      <c r="D2087" s="80" t="s">
        <v>2187</v>
      </c>
      <c r="E2087" s="80" t="b">
        <v>0</v>
      </c>
      <c r="F2087" s="80" t="b">
        <v>0</v>
      </c>
      <c r="G2087" s="80" t="b">
        <v>0</v>
      </c>
    </row>
    <row r="2088" spans="1:7" ht="15">
      <c r="A2088" s="81" t="s">
        <v>2272</v>
      </c>
      <c r="B2088" s="80">
        <v>5</v>
      </c>
      <c r="C2088" s="104">
        <v>0.0030986588647014877</v>
      </c>
      <c r="D2088" s="80" t="s">
        <v>2187</v>
      </c>
      <c r="E2088" s="80" t="b">
        <v>0</v>
      </c>
      <c r="F2088" s="80" t="b">
        <v>0</v>
      </c>
      <c r="G2088" s="80" t="b">
        <v>0</v>
      </c>
    </row>
    <row r="2089" spans="1:7" ht="15">
      <c r="A2089" s="81" t="s">
        <v>2516</v>
      </c>
      <c r="B2089" s="80">
        <v>5</v>
      </c>
      <c r="C2089" s="104">
        <v>0.0030986588647014877</v>
      </c>
      <c r="D2089" s="80" t="s">
        <v>2187</v>
      </c>
      <c r="E2089" s="80" t="b">
        <v>0</v>
      </c>
      <c r="F2089" s="80" t="b">
        <v>0</v>
      </c>
      <c r="G2089" s="80" t="b">
        <v>0</v>
      </c>
    </row>
    <row r="2090" spans="1:7" ht="15">
      <c r="A2090" s="81" t="s">
        <v>2215</v>
      </c>
      <c r="B2090" s="80">
        <v>5</v>
      </c>
      <c r="C2090" s="104">
        <v>0.002475106247648792</v>
      </c>
      <c r="D2090" s="80" t="s">
        <v>2187</v>
      </c>
      <c r="E2090" s="80" t="b">
        <v>0</v>
      </c>
      <c r="F2090" s="80" t="b">
        <v>0</v>
      </c>
      <c r="G2090" s="80" t="b">
        <v>0</v>
      </c>
    </row>
    <row r="2091" spans="1:7" ht="15">
      <c r="A2091" s="81" t="s">
        <v>2316</v>
      </c>
      <c r="B2091" s="80">
        <v>5</v>
      </c>
      <c r="C2091" s="104">
        <v>0.0030986588647014877</v>
      </c>
      <c r="D2091" s="80" t="s">
        <v>2187</v>
      </c>
      <c r="E2091" s="80" t="b">
        <v>0</v>
      </c>
      <c r="F2091" s="80" t="b">
        <v>0</v>
      </c>
      <c r="G2091" s="80" t="b">
        <v>0</v>
      </c>
    </row>
    <row r="2092" spans="1:7" ht="15">
      <c r="A2092" s="81" t="s">
        <v>2577</v>
      </c>
      <c r="B2092" s="80">
        <v>4</v>
      </c>
      <c r="C2092" s="104">
        <v>0.0033317032834438566</v>
      </c>
      <c r="D2092" s="80" t="s">
        <v>2187</v>
      </c>
      <c r="E2092" s="80" t="b">
        <v>0</v>
      </c>
      <c r="F2092" s="80" t="b">
        <v>0</v>
      </c>
      <c r="G2092" s="80" t="b">
        <v>0</v>
      </c>
    </row>
    <row r="2093" spans="1:7" ht="15">
      <c r="A2093" s="81" t="s">
        <v>2245</v>
      </c>
      <c r="B2093" s="80">
        <v>4</v>
      </c>
      <c r="C2093" s="104">
        <v>0.0024789270917611904</v>
      </c>
      <c r="D2093" s="80" t="s">
        <v>2187</v>
      </c>
      <c r="E2093" s="80" t="b">
        <v>0</v>
      </c>
      <c r="F2093" s="80" t="b">
        <v>0</v>
      </c>
      <c r="G2093" s="80" t="b">
        <v>0</v>
      </c>
    </row>
    <row r="2094" spans="1:7" ht="15">
      <c r="A2094" s="81" t="s">
        <v>2240</v>
      </c>
      <c r="B2094" s="80">
        <v>4</v>
      </c>
      <c r="C2094" s="104">
        <v>0.0016261509000785237</v>
      </c>
      <c r="D2094" s="80" t="s">
        <v>2187</v>
      </c>
      <c r="E2094" s="80" t="b">
        <v>0</v>
      </c>
      <c r="F2094" s="80" t="b">
        <v>0</v>
      </c>
      <c r="G2094" s="80" t="b">
        <v>0</v>
      </c>
    </row>
    <row r="2095" spans="1:7" ht="15">
      <c r="A2095" s="81" t="s">
        <v>2625</v>
      </c>
      <c r="B2095" s="80">
        <v>4</v>
      </c>
      <c r="C2095" s="104">
        <v>0.0033317032834438566</v>
      </c>
      <c r="D2095" s="80" t="s">
        <v>2187</v>
      </c>
      <c r="E2095" s="80" t="b">
        <v>0</v>
      </c>
      <c r="F2095" s="80" t="b">
        <v>0</v>
      </c>
      <c r="G2095" s="80" t="b">
        <v>0</v>
      </c>
    </row>
    <row r="2096" spans="1:7" ht="15">
      <c r="A2096" s="81" t="s">
        <v>2219</v>
      </c>
      <c r="B2096" s="80">
        <v>4</v>
      </c>
      <c r="C2096" s="104">
        <v>0.0019800849981190336</v>
      </c>
      <c r="D2096" s="80" t="s">
        <v>2187</v>
      </c>
      <c r="E2096" s="80" t="b">
        <v>0</v>
      </c>
      <c r="F2096" s="80" t="b">
        <v>0</v>
      </c>
      <c r="G2096" s="80" t="b">
        <v>0</v>
      </c>
    </row>
    <row r="2097" spans="1:7" ht="15">
      <c r="A2097" s="81" t="s">
        <v>2495</v>
      </c>
      <c r="B2097" s="80">
        <v>4</v>
      </c>
      <c r="C2097" s="104">
        <v>0.0033317032834438566</v>
      </c>
      <c r="D2097" s="80" t="s">
        <v>2187</v>
      </c>
      <c r="E2097" s="80" t="b">
        <v>0</v>
      </c>
      <c r="F2097" s="80" t="b">
        <v>0</v>
      </c>
      <c r="G2097" s="80" t="b">
        <v>0</v>
      </c>
    </row>
    <row r="2098" spans="1:7" ht="15">
      <c r="A2098" s="81" t="s">
        <v>2223</v>
      </c>
      <c r="B2098" s="80">
        <v>4</v>
      </c>
      <c r="C2098" s="104">
        <v>0.0024789270917611904</v>
      </c>
      <c r="D2098" s="80" t="s">
        <v>2187</v>
      </c>
      <c r="E2098" s="80" t="b">
        <v>0</v>
      </c>
      <c r="F2098" s="80" t="b">
        <v>0</v>
      </c>
      <c r="G2098" s="80" t="b">
        <v>0</v>
      </c>
    </row>
    <row r="2099" spans="1:7" ht="15">
      <c r="A2099" s="81" t="s">
        <v>2263</v>
      </c>
      <c r="B2099" s="80">
        <v>4</v>
      </c>
      <c r="C2099" s="104">
        <v>0.0019800849981190336</v>
      </c>
      <c r="D2099" s="80" t="s">
        <v>2187</v>
      </c>
      <c r="E2099" s="80" t="b">
        <v>0</v>
      </c>
      <c r="F2099" s="80" t="b">
        <v>0</v>
      </c>
      <c r="G2099" s="80" t="b">
        <v>0</v>
      </c>
    </row>
    <row r="2100" spans="1:7" ht="15">
      <c r="A2100" s="81" t="s">
        <v>2581</v>
      </c>
      <c r="B2100" s="80">
        <v>4</v>
      </c>
      <c r="C2100" s="104">
        <v>0.0033317032834438566</v>
      </c>
      <c r="D2100" s="80" t="s">
        <v>2187</v>
      </c>
      <c r="E2100" s="80" t="b">
        <v>0</v>
      </c>
      <c r="F2100" s="80" t="b">
        <v>0</v>
      </c>
      <c r="G2100" s="80" t="b">
        <v>0</v>
      </c>
    </row>
    <row r="2101" spans="1:7" ht="15">
      <c r="A2101" s="81" t="s">
        <v>2253</v>
      </c>
      <c r="B2101" s="80">
        <v>4</v>
      </c>
      <c r="C2101" s="104">
        <v>0.0019800849981190336</v>
      </c>
      <c r="D2101" s="80" t="s">
        <v>2187</v>
      </c>
      <c r="E2101" s="80" t="b">
        <v>0</v>
      </c>
      <c r="F2101" s="80" t="b">
        <v>0</v>
      </c>
      <c r="G2101" s="80" t="b">
        <v>0</v>
      </c>
    </row>
    <row r="2102" spans="1:7" ht="15">
      <c r="A2102" s="81" t="s">
        <v>2254</v>
      </c>
      <c r="B2102" s="80">
        <v>4</v>
      </c>
      <c r="C2102" s="104">
        <v>0.0024789270917611904</v>
      </c>
      <c r="D2102" s="80" t="s">
        <v>2187</v>
      </c>
      <c r="E2102" s="80" t="b">
        <v>0</v>
      </c>
      <c r="F2102" s="80" t="b">
        <v>0</v>
      </c>
      <c r="G2102" s="80" t="b">
        <v>0</v>
      </c>
    </row>
    <row r="2103" spans="1:7" ht="15">
      <c r="A2103" s="81" t="s">
        <v>2576</v>
      </c>
      <c r="B2103" s="80">
        <v>4</v>
      </c>
      <c r="C2103" s="104">
        <v>0.0033317032834438566</v>
      </c>
      <c r="D2103" s="80" t="s">
        <v>2187</v>
      </c>
      <c r="E2103" s="80" t="b">
        <v>0</v>
      </c>
      <c r="F2103" s="80" t="b">
        <v>0</v>
      </c>
      <c r="G2103" s="80" t="b">
        <v>0</v>
      </c>
    </row>
    <row r="2104" spans="1:7" ht="15">
      <c r="A2104" s="81" t="s">
        <v>2335</v>
      </c>
      <c r="B2104" s="80">
        <v>4</v>
      </c>
      <c r="C2104" s="104">
        <v>0.0019800849981190336</v>
      </c>
      <c r="D2104" s="80" t="s">
        <v>2187</v>
      </c>
      <c r="E2104" s="80" t="b">
        <v>0</v>
      </c>
      <c r="F2104" s="80" t="b">
        <v>0</v>
      </c>
      <c r="G2104" s="80" t="b">
        <v>0</v>
      </c>
    </row>
    <row r="2105" spans="1:7" ht="15">
      <c r="A2105" s="81" t="s">
        <v>2221</v>
      </c>
      <c r="B2105" s="80">
        <v>4</v>
      </c>
      <c r="C2105" s="104">
        <v>0.0019800849981190336</v>
      </c>
      <c r="D2105" s="80" t="s">
        <v>2187</v>
      </c>
      <c r="E2105" s="80" t="b">
        <v>0</v>
      </c>
      <c r="F2105" s="80" t="b">
        <v>0</v>
      </c>
      <c r="G2105" s="80" t="b">
        <v>0</v>
      </c>
    </row>
    <row r="2106" spans="1:7" ht="15">
      <c r="A2106" s="81" t="s">
        <v>2643</v>
      </c>
      <c r="B2106" s="80">
        <v>4</v>
      </c>
      <c r="C2106" s="104">
        <v>0.0033317032834438566</v>
      </c>
      <c r="D2106" s="80" t="s">
        <v>2187</v>
      </c>
      <c r="E2106" s="80" t="b">
        <v>0</v>
      </c>
      <c r="F2106" s="80" t="b">
        <v>0</v>
      </c>
      <c r="G2106" s="80" t="b">
        <v>0</v>
      </c>
    </row>
    <row r="2107" spans="1:7" ht="15">
      <c r="A2107" s="81" t="s">
        <v>2467</v>
      </c>
      <c r="B2107" s="80">
        <v>4</v>
      </c>
      <c r="C2107" s="104">
        <v>0.0033317032834438566</v>
      </c>
      <c r="D2107" s="80" t="s">
        <v>2187</v>
      </c>
      <c r="E2107" s="80" t="b">
        <v>0</v>
      </c>
      <c r="F2107" s="80" t="b">
        <v>0</v>
      </c>
      <c r="G2107" s="80" t="b">
        <v>0</v>
      </c>
    </row>
    <row r="2108" spans="1:7" ht="15">
      <c r="A2108" s="81" t="s">
        <v>2667</v>
      </c>
      <c r="B2108" s="80">
        <v>4</v>
      </c>
      <c r="C2108" s="104">
        <v>0.0024789270917611904</v>
      </c>
      <c r="D2108" s="80" t="s">
        <v>2187</v>
      </c>
      <c r="E2108" s="80" t="b">
        <v>0</v>
      </c>
      <c r="F2108" s="80" t="b">
        <v>0</v>
      </c>
      <c r="G2108" s="80" t="b">
        <v>0</v>
      </c>
    </row>
    <row r="2109" spans="1:7" ht="15">
      <c r="A2109" s="81" t="s">
        <v>2565</v>
      </c>
      <c r="B2109" s="80">
        <v>4</v>
      </c>
      <c r="C2109" s="104">
        <v>0.0033317032834438566</v>
      </c>
      <c r="D2109" s="80" t="s">
        <v>2187</v>
      </c>
      <c r="E2109" s="80" t="b">
        <v>0</v>
      </c>
      <c r="F2109" s="80" t="b">
        <v>0</v>
      </c>
      <c r="G2109" s="80" t="b">
        <v>0</v>
      </c>
    </row>
    <row r="2110" spans="1:7" ht="15">
      <c r="A2110" s="81" t="s">
        <v>2266</v>
      </c>
      <c r="B2110" s="80">
        <v>4</v>
      </c>
      <c r="C2110" s="104">
        <v>0.0024789270917611904</v>
      </c>
      <c r="D2110" s="80" t="s">
        <v>2187</v>
      </c>
      <c r="E2110" s="80" t="b">
        <v>0</v>
      </c>
      <c r="F2110" s="80" t="b">
        <v>0</v>
      </c>
      <c r="G2110" s="80" t="b">
        <v>0</v>
      </c>
    </row>
    <row r="2111" spans="1:7" ht="15">
      <c r="A2111" s="81" t="s">
        <v>2683</v>
      </c>
      <c r="B2111" s="80">
        <v>3</v>
      </c>
      <c r="C2111" s="104">
        <v>0.0024987774625828928</v>
      </c>
      <c r="D2111" s="80" t="s">
        <v>2187</v>
      </c>
      <c r="E2111" s="80" t="b">
        <v>0</v>
      </c>
      <c r="F2111" s="80" t="b">
        <v>0</v>
      </c>
      <c r="G2111" s="80" t="b">
        <v>0</v>
      </c>
    </row>
    <row r="2112" spans="1:7" ht="15">
      <c r="A2112" s="81" t="s">
        <v>2217</v>
      </c>
      <c r="B2112" s="80">
        <v>3</v>
      </c>
      <c r="C2112" s="104">
        <v>0.0018591953188208928</v>
      </c>
      <c r="D2112" s="80" t="s">
        <v>2187</v>
      </c>
      <c r="E2112" s="80" t="b">
        <v>0</v>
      </c>
      <c r="F2112" s="80" t="b">
        <v>0</v>
      </c>
      <c r="G2112" s="80" t="b">
        <v>0</v>
      </c>
    </row>
    <row r="2113" spans="1:7" ht="15">
      <c r="A2113" s="81" t="s">
        <v>2378</v>
      </c>
      <c r="B2113" s="80">
        <v>3</v>
      </c>
      <c r="C2113" s="104">
        <v>0.0018591953188208928</v>
      </c>
      <c r="D2113" s="80" t="s">
        <v>2187</v>
      </c>
      <c r="E2113" s="80" t="b">
        <v>0</v>
      </c>
      <c r="F2113" s="80" t="b">
        <v>1</v>
      </c>
      <c r="G2113" s="80" t="b">
        <v>0</v>
      </c>
    </row>
    <row r="2114" spans="1:7" ht="15">
      <c r="A2114" s="81" t="s">
        <v>2229</v>
      </c>
      <c r="B2114" s="80">
        <v>3</v>
      </c>
      <c r="C2114" s="104">
        <v>0.0024987774625828928</v>
      </c>
      <c r="D2114" s="80" t="s">
        <v>2187</v>
      </c>
      <c r="E2114" s="80" t="b">
        <v>0</v>
      </c>
      <c r="F2114" s="80" t="b">
        <v>0</v>
      </c>
      <c r="G2114" s="80" t="b">
        <v>0</v>
      </c>
    </row>
    <row r="2115" spans="1:7" ht="15">
      <c r="A2115" s="81" t="s">
        <v>2762</v>
      </c>
      <c r="B2115" s="80">
        <v>3</v>
      </c>
      <c r="C2115" s="104">
        <v>0.0018591953188208928</v>
      </c>
      <c r="D2115" s="80" t="s">
        <v>2187</v>
      </c>
      <c r="E2115" s="80" t="b">
        <v>0</v>
      </c>
      <c r="F2115" s="80" t="b">
        <v>0</v>
      </c>
      <c r="G2115" s="80" t="b">
        <v>0</v>
      </c>
    </row>
    <row r="2116" spans="1:7" ht="15">
      <c r="A2116" s="81" t="s">
        <v>2877</v>
      </c>
      <c r="B2116" s="80">
        <v>3</v>
      </c>
      <c r="C2116" s="104">
        <v>0.0024987774625828928</v>
      </c>
      <c r="D2116" s="80" t="s">
        <v>2187</v>
      </c>
      <c r="E2116" s="80" t="b">
        <v>0</v>
      </c>
      <c r="F2116" s="80" t="b">
        <v>0</v>
      </c>
      <c r="G2116" s="80" t="b">
        <v>0</v>
      </c>
    </row>
    <row r="2117" spans="1:7" ht="15">
      <c r="A2117" s="81" t="s">
        <v>2588</v>
      </c>
      <c r="B2117" s="80">
        <v>3</v>
      </c>
      <c r="C2117" s="104">
        <v>0.0018591953188208928</v>
      </c>
      <c r="D2117" s="80" t="s">
        <v>2187</v>
      </c>
      <c r="E2117" s="80" t="b">
        <v>0</v>
      </c>
      <c r="F2117" s="80" t="b">
        <v>0</v>
      </c>
      <c r="G2117" s="80" t="b">
        <v>0</v>
      </c>
    </row>
    <row r="2118" spans="1:7" ht="15">
      <c r="A2118" s="81" t="s">
        <v>2231</v>
      </c>
      <c r="B2118" s="80">
        <v>3</v>
      </c>
      <c r="C2118" s="104">
        <v>0.0024987774625828928</v>
      </c>
      <c r="D2118" s="80" t="s">
        <v>2187</v>
      </c>
      <c r="E2118" s="80" t="b">
        <v>0</v>
      </c>
      <c r="F2118" s="80" t="b">
        <v>0</v>
      </c>
      <c r="G2118" s="80" t="b">
        <v>0</v>
      </c>
    </row>
    <row r="2119" spans="1:7" ht="15">
      <c r="A2119" s="81" t="s">
        <v>2390</v>
      </c>
      <c r="B2119" s="80">
        <v>3</v>
      </c>
      <c r="C2119" s="104">
        <v>0.0024987774625828928</v>
      </c>
      <c r="D2119" s="80" t="s">
        <v>2187</v>
      </c>
      <c r="E2119" s="80" t="b">
        <v>0</v>
      </c>
      <c r="F2119" s="80" t="b">
        <v>0</v>
      </c>
      <c r="G2119" s="80" t="b">
        <v>0</v>
      </c>
    </row>
    <row r="2120" spans="1:7" ht="15">
      <c r="A2120" s="81" t="s">
        <v>2385</v>
      </c>
      <c r="B2120" s="80">
        <v>3</v>
      </c>
      <c r="C2120" s="104">
        <v>0.0018591953188208928</v>
      </c>
      <c r="D2120" s="80" t="s">
        <v>2187</v>
      </c>
      <c r="E2120" s="80" t="b">
        <v>0</v>
      </c>
      <c r="F2120" s="80" t="b">
        <v>0</v>
      </c>
      <c r="G2120" s="80" t="b">
        <v>0</v>
      </c>
    </row>
    <row r="2121" spans="1:7" ht="15">
      <c r="A2121" s="81" t="s">
        <v>2763</v>
      </c>
      <c r="B2121" s="80">
        <v>3</v>
      </c>
      <c r="C2121" s="104">
        <v>0.0014850637485892754</v>
      </c>
      <c r="D2121" s="80" t="s">
        <v>2187</v>
      </c>
      <c r="E2121" s="80" t="b">
        <v>0</v>
      </c>
      <c r="F2121" s="80" t="b">
        <v>0</v>
      </c>
      <c r="G2121" s="80" t="b">
        <v>0</v>
      </c>
    </row>
    <row r="2122" spans="1:7" ht="15">
      <c r="A2122" s="81" t="s">
        <v>2753</v>
      </c>
      <c r="B2122" s="80">
        <v>3</v>
      </c>
      <c r="C2122" s="104">
        <v>0.0018591953188208928</v>
      </c>
      <c r="D2122" s="80" t="s">
        <v>2187</v>
      </c>
      <c r="E2122" s="80" t="b">
        <v>0</v>
      </c>
      <c r="F2122" s="80" t="b">
        <v>0</v>
      </c>
      <c r="G2122" s="80" t="b">
        <v>0</v>
      </c>
    </row>
    <row r="2123" spans="1:7" ht="15">
      <c r="A2123" s="81" t="s">
        <v>2862</v>
      </c>
      <c r="B2123" s="80">
        <v>3</v>
      </c>
      <c r="C2123" s="104">
        <v>0.0024987774625828928</v>
      </c>
      <c r="D2123" s="80" t="s">
        <v>2187</v>
      </c>
      <c r="E2123" s="80" t="b">
        <v>0</v>
      </c>
      <c r="F2123" s="80" t="b">
        <v>0</v>
      </c>
      <c r="G2123" s="80" t="b">
        <v>0</v>
      </c>
    </row>
    <row r="2124" spans="1:7" ht="15">
      <c r="A2124" s="81" t="s">
        <v>2692</v>
      </c>
      <c r="B2124" s="80">
        <v>3</v>
      </c>
      <c r="C2124" s="104">
        <v>0.0018591953188208928</v>
      </c>
      <c r="D2124" s="80" t="s">
        <v>2187</v>
      </c>
      <c r="E2124" s="80" t="b">
        <v>0</v>
      </c>
      <c r="F2124" s="80" t="b">
        <v>0</v>
      </c>
      <c r="G2124" s="80" t="b">
        <v>0</v>
      </c>
    </row>
    <row r="2125" spans="1:7" ht="15">
      <c r="A2125" s="81" t="s">
        <v>2574</v>
      </c>
      <c r="B2125" s="80">
        <v>3</v>
      </c>
      <c r="C2125" s="104">
        <v>0.0024987774625828928</v>
      </c>
      <c r="D2125" s="80" t="s">
        <v>2187</v>
      </c>
      <c r="E2125" s="80" t="b">
        <v>0</v>
      </c>
      <c r="F2125" s="80" t="b">
        <v>0</v>
      </c>
      <c r="G2125" s="80" t="b">
        <v>0</v>
      </c>
    </row>
    <row r="2126" spans="1:7" ht="15">
      <c r="A2126" s="81" t="s">
        <v>2428</v>
      </c>
      <c r="B2126" s="80">
        <v>3</v>
      </c>
      <c r="C2126" s="104">
        <v>0.0024987774625828928</v>
      </c>
      <c r="D2126" s="80" t="s">
        <v>2187</v>
      </c>
      <c r="E2126" s="80" t="b">
        <v>0</v>
      </c>
      <c r="F2126" s="80" t="b">
        <v>0</v>
      </c>
      <c r="G2126" s="80" t="b">
        <v>0</v>
      </c>
    </row>
    <row r="2127" spans="1:7" ht="15">
      <c r="A2127" s="81" t="s">
        <v>2801</v>
      </c>
      <c r="B2127" s="80">
        <v>3</v>
      </c>
      <c r="C2127" s="104">
        <v>0.0024987774625828928</v>
      </c>
      <c r="D2127" s="80" t="s">
        <v>2187</v>
      </c>
      <c r="E2127" s="80" t="b">
        <v>0</v>
      </c>
      <c r="F2127" s="80" t="b">
        <v>0</v>
      </c>
      <c r="G2127" s="80" t="b">
        <v>0</v>
      </c>
    </row>
    <row r="2128" spans="1:7" ht="15">
      <c r="A2128" s="81" t="s">
        <v>2794</v>
      </c>
      <c r="B2128" s="80">
        <v>3</v>
      </c>
      <c r="C2128" s="104">
        <v>0.0024987774625828928</v>
      </c>
      <c r="D2128" s="80" t="s">
        <v>2187</v>
      </c>
      <c r="E2128" s="80" t="b">
        <v>0</v>
      </c>
      <c r="F2128" s="80" t="b">
        <v>0</v>
      </c>
      <c r="G2128" s="80" t="b">
        <v>0</v>
      </c>
    </row>
    <row r="2129" spans="1:7" ht="15">
      <c r="A2129" s="81" t="s">
        <v>2698</v>
      </c>
      <c r="B2129" s="80">
        <v>3</v>
      </c>
      <c r="C2129" s="104">
        <v>0.0024987774625828928</v>
      </c>
      <c r="D2129" s="80" t="s">
        <v>2187</v>
      </c>
      <c r="E2129" s="80" t="b">
        <v>0</v>
      </c>
      <c r="F2129" s="80" t="b">
        <v>0</v>
      </c>
      <c r="G2129" s="80" t="b">
        <v>0</v>
      </c>
    </row>
    <row r="2130" spans="1:7" ht="15">
      <c r="A2130" s="81" t="s">
        <v>2226</v>
      </c>
      <c r="B2130" s="80">
        <v>3</v>
      </c>
      <c r="C2130" s="104">
        <v>0.0014850637485892754</v>
      </c>
      <c r="D2130" s="80" t="s">
        <v>2187</v>
      </c>
      <c r="E2130" s="80" t="b">
        <v>0</v>
      </c>
      <c r="F2130" s="80" t="b">
        <v>0</v>
      </c>
      <c r="G2130" s="80" t="b">
        <v>0</v>
      </c>
    </row>
    <row r="2131" spans="1:7" ht="15">
      <c r="A2131" s="81" t="s">
        <v>2830</v>
      </c>
      <c r="B2131" s="80">
        <v>3</v>
      </c>
      <c r="C2131" s="104">
        <v>0.0024987774625828928</v>
      </c>
      <c r="D2131" s="80" t="s">
        <v>2187</v>
      </c>
      <c r="E2131" s="80" t="b">
        <v>0</v>
      </c>
      <c r="F2131" s="80" t="b">
        <v>0</v>
      </c>
      <c r="G2131" s="80" t="b">
        <v>0</v>
      </c>
    </row>
    <row r="2132" spans="1:7" ht="15">
      <c r="A2132" s="81" t="s">
        <v>2681</v>
      </c>
      <c r="B2132" s="80">
        <v>3</v>
      </c>
      <c r="C2132" s="104">
        <v>0.0014850637485892754</v>
      </c>
      <c r="D2132" s="80" t="s">
        <v>2187</v>
      </c>
      <c r="E2132" s="80" t="b">
        <v>0</v>
      </c>
      <c r="F2132" s="80" t="b">
        <v>0</v>
      </c>
      <c r="G2132" s="80" t="b">
        <v>0</v>
      </c>
    </row>
    <row r="2133" spans="1:7" ht="15">
      <c r="A2133" s="81" t="s">
        <v>2849</v>
      </c>
      <c r="B2133" s="80">
        <v>3</v>
      </c>
      <c r="C2133" s="104">
        <v>0.0024987774625828928</v>
      </c>
      <c r="D2133" s="80" t="s">
        <v>2187</v>
      </c>
      <c r="E2133" s="80" t="b">
        <v>1</v>
      </c>
      <c r="F2133" s="80" t="b">
        <v>0</v>
      </c>
      <c r="G2133" s="80" t="b">
        <v>0</v>
      </c>
    </row>
    <row r="2134" spans="1:7" ht="15">
      <c r="A2134" s="81" t="s">
        <v>2838</v>
      </c>
      <c r="B2134" s="80">
        <v>3</v>
      </c>
      <c r="C2134" s="104">
        <v>0.0024987774625828928</v>
      </c>
      <c r="D2134" s="80" t="s">
        <v>2187</v>
      </c>
      <c r="E2134" s="80" t="b">
        <v>0</v>
      </c>
      <c r="F2134" s="80" t="b">
        <v>0</v>
      </c>
      <c r="G2134" s="80" t="b">
        <v>0</v>
      </c>
    </row>
    <row r="2135" spans="1:7" ht="15">
      <c r="A2135" s="81" t="s">
        <v>2750</v>
      </c>
      <c r="B2135" s="80">
        <v>3</v>
      </c>
      <c r="C2135" s="104">
        <v>0.0024987774625828928</v>
      </c>
      <c r="D2135" s="80" t="s">
        <v>2187</v>
      </c>
      <c r="E2135" s="80" t="b">
        <v>0</v>
      </c>
      <c r="F2135" s="80" t="b">
        <v>0</v>
      </c>
      <c r="G2135" s="80" t="b">
        <v>0</v>
      </c>
    </row>
    <row r="2136" spans="1:7" ht="15">
      <c r="A2136" s="81" t="s">
        <v>2238</v>
      </c>
      <c r="B2136" s="80">
        <v>3</v>
      </c>
      <c r="C2136" s="104">
        <v>0.0018591953188208928</v>
      </c>
      <c r="D2136" s="80" t="s">
        <v>2187</v>
      </c>
      <c r="E2136" s="80" t="b">
        <v>0</v>
      </c>
      <c r="F2136" s="80" t="b">
        <v>0</v>
      </c>
      <c r="G2136" s="80" t="b">
        <v>0</v>
      </c>
    </row>
    <row r="2137" spans="1:7" ht="15">
      <c r="A2137" s="81" t="s">
        <v>2260</v>
      </c>
      <c r="B2137" s="80">
        <v>3</v>
      </c>
      <c r="C2137" s="104">
        <v>0.0014850637485892754</v>
      </c>
      <c r="D2137" s="80" t="s">
        <v>2187</v>
      </c>
      <c r="E2137" s="80" t="b">
        <v>0</v>
      </c>
      <c r="F2137" s="80" t="b">
        <v>0</v>
      </c>
      <c r="G2137" s="80" t="b">
        <v>0</v>
      </c>
    </row>
    <row r="2138" spans="1:7" ht="15">
      <c r="A2138" s="81" t="s">
        <v>2724</v>
      </c>
      <c r="B2138" s="80">
        <v>3</v>
      </c>
      <c r="C2138" s="104">
        <v>0.0024987774625828928</v>
      </c>
      <c r="D2138" s="80" t="s">
        <v>2187</v>
      </c>
      <c r="E2138" s="80" t="b">
        <v>0</v>
      </c>
      <c r="F2138" s="80" t="b">
        <v>0</v>
      </c>
      <c r="G2138" s="80" t="b">
        <v>0</v>
      </c>
    </row>
    <row r="2139" spans="1:7" ht="15">
      <c r="A2139" s="81" t="s">
        <v>2567</v>
      </c>
      <c r="B2139" s="80">
        <v>3</v>
      </c>
      <c r="C2139" s="104">
        <v>0.0024987774625828928</v>
      </c>
      <c r="D2139" s="80" t="s">
        <v>2187</v>
      </c>
      <c r="E2139" s="80" t="b">
        <v>0</v>
      </c>
      <c r="F2139" s="80" t="b">
        <v>0</v>
      </c>
      <c r="G2139" s="80" t="b">
        <v>0</v>
      </c>
    </row>
    <row r="2140" spans="1:7" ht="15">
      <c r="A2140" s="81" t="s">
        <v>2235</v>
      </c>
      <c r="B2140" s="80">
        <v>3</v>
      </c>
      <c r="C2140" s="104">
        <v>0.0014850637485892754</v>
      </c>
      <c r="D2140" s="80" t="s">
        <v>2187</v>
      </c>
      <c r="E2140" s="80" t="b">
        <v>0</v>
      </c>
      <c r="F2140" s="80" t="b">
        <v>0</v>
      </c>
      <c r="G2140" s="80" t="b">
        <v>0</v>
      </c>
    </row>
    <row r="2141" spans="1:7" ht="15">
      <c r="A2141" s="81" t="s">
        <v>2631</v>
      </c>
      <c r="B2141" s="80">
        <v>3</v>
      </c>
      <c r="C2141" s="104">
        <v>0.0018591953188208928</v>
      </c>
      <c r="D2141" s="80" t="s">
        <v>2187</v>
      </c>
      <c r="E2141" s="80" t="b">
        <v>0</v>
      </c>
      <c r="F2141" s="80" t="b">
        <v>0</v>
      </c>
      <c r="G2141" s="80" t="b">
        <v>0</v>
      </c>
    </row>
    <row r="2142" spans="1:7" ht="15">
      <c r="A2142" s="81" t="s">
        <v>2233</v>
      </c>
      <c r="B2142" s="80">
        <v>3</v>
      </c>
      <c r="C2142" s="104">
        <v>0.0014850637485892754</v>
      </c>
      <c r="D2142" s="80" t="s">
        <v>2187</v>
      </c>
      <c r="E2142" s="80" t="b">
        <v>0</v>
      </c>
      <c r="F2142" s="80" t="b">
        <v>0</v>
      </c>
      <c r="G2142" s="80" t="b">
        <v>0</v>
      </c>
    </row>
    <row r="2143" spans="1:7" ht="15">
      <c r="A2143" s="81" t="s">
        <v>2318</v>
      </c>
      <c r="B2143" s="80">
        <v>3</v>
      </c>
      <c r="C2143" s="104">
        <v>0.0024987774625828928</v>
      </c>
      <c r="D2143" s="80" t="s">
        <v>2187</v>
      </c>
      <c r="E2143" s="80" t="b">
        <v>0</v>
      </c>
      <c r="F2143" s="80" t="b">
        <v>0</v>
      </c>
      <c r="G2143" s="80" t="b">
        <v>0</v>
      </c>
    </row>
    <row r="2144" spans="1:7" ht="15">
      <c r="A2144" s="81" t="s">
        <v>2328</v>
      </c>
      <c r="B2144" s="80">
        <v>3</v>
      </c>
      <c r="C2144" s="104">
        <v>0.0014850637485892754</v>
      </c>
      <c r="D2144" s="80" t="s">
        <v>2187</v>
      </c>
      <c r="E2144" s="80" t="b">
        <v>0</v>
      </c>
      <c r="F2144" s="80" t="b">
        <v>0</v>
      </c>
      <c r="G2144" s="80" t="b">
        <v>0</v>
      </c>
    </row>
    <row r="2145" spans="1:7" ht="15">
      <c r="A2145" s="81" t="s">
        <v>2258</v>
      </c>
      <c r="B2145" s="80">
        <v>3</v>
      </c>
      <c r="C2145" s="104">
        <v>0.0018591953188208928</v>
      </c>
      <c r="D2145" s="80" t="s">
        <v>2187</v>
      </c>
      <c r="E2145" s="80" t="b">
        <v>0</v>
      </c>
      <c r="F2145" s="80" t="b">
        <v>0</v>
      </c>
      <c r="G2145" s="80" t="b">
        <v>0</v>
      </c>
    </row>
    <row r="2146" spans="1:7" ht="15">
      <c r="A2146" s="81" t="s">
        <v>2739</v>
      </c>
      <c r="B2146" s="80">
        <v>3</v>
      </c>
      <c r="C2146" s="104">
        <v>0.0024987774625828928</v>
      </c>
      <c r="D2146" s="80" t="s">
        <v>2187</v>
      </c>
      <c r="E2146" s="80" t="b">
        <v>0</v>
      </c>
      <c r="F2146" s="80" t="b">
        <v>0</v>
      </c>
      <c r="G2146" s="80" t="b">
        <v>0</v>
      </c>
    </row>
    <row r="2147" spans="1:7" ht="15">
      <c r="A2147" s="81" t="s">
        <v>2880</v>
      </c>
      <c r="B2147" s="80">
        <v>3</v>
      </c>
      <c r="C2147" s="104">
        <v>0.0024987774625828928</v>
      </c>
      <c r="D2147" s="80" t="s">
        <v>2187</v>
      </c>
      <c r="E2147" s="80" t="b">
        <v>0</v>
      </c>
      <c r="F2147" s="80" t="b">
        <v>0</v>
      </c>
      <c r="G2147" s="80" t="b">
        <v>0</v>
      </c>
    </row>
    <row r="2148" spans="1:7" ht="15">
      <c r="A2148" s="81" t="s">
        <v>2604</v>
      </c>
      <c r="B2148" s="80">
        <v>3</v>
      </c>
      <c r="C2148" s="104">
        <v>0.0024987774625828928</v>
      </c>
      <c r="D2148" s="80" t="s">
        <v>2187</v>
      </c>
      <c r="E2148" s="80" t="b">
        <v>0</v>
      </c>
      <c r="F2148" s="80" t="b">
        <v>0</v>
      </c>
      <c r="G2148" s="80" t="b">
        <v>0</v>
      </c>
    </row>
    <row r="2149" spans="1:7" ht="15">
      <c r="A2149" s="81" t="s">
        <v>2410</v>
      </c>
      <c r="B2149" s="80">
        <v>3</v>
      </c>
      <c r="C2149" s="104">
        <v>0.0018591953188208928</v>
      </c>
      <c r="D2149" s="80" t="s">
        <v>2187</v>
      </c>
      <c r="E2149" s="80" t="b">
        <v>0</v>
      </c>
      <c r="F2149" s="80" t="b">
        <v>0</v>
      </c>
      <c r="G2149" s="80" t="b">
        <v>0</v>
      </c>
    </row>
    <row r="2150" spans="1:7" ht="15">
      <c r="A2150" s="81" t="s">
        <v>2400</v>
      </c>
      <c r="B2150" s="80">
        <v>2</v>
      </c>
      <c r="C2150" s="104">
        <v>0.0016658516417219283</v>
      </c>
      <c r="D2150" s="80" t="s">
        <v>2187</v>
      </c>
      <c r="E2150" s="80" t="b">
        <v>0</v>
      </c>
      <c r="F2150" s="80" t="b">
        <v>0</v>
      </c>
      <c r="G2150" s="80" t="b">
        <v>0</v>
      </c>
    </row>
    <row r="2151" spans="1:7" ht="15">
      <c r="A2151" s="81" t="s">
        <v>3273</v>
      </c>
      <c r="B2151" s="80">
        <v>2</v>
      </c>
      <c r="C2151" s="104">
        <v>0.0012394635458805952</v>
      </c>
      <c r="D2151" s="80" t="s">
        <v>2187</v>
      </c>
      <c r="E2151" s="80" t="b">
        <v>0</v>
      </c>
      <c r="F2151" s="80" t="b">
        <v>0</v>
      </c>
      <c r="G2151" s="80" t="b">
        <v>0</v>
      </c>
    </row>
    <row r="2152" spans="1:7" ht="15">
      <c r="A2152" s="81" t="s">
        <v>2887</v>
      </c>
      <c r="B2152" s="80">
        <v>2</v>
      </c>
      <c r="C2152" s="104">
        <v>0.0016658516417219283</v>
      </c>
      <c r="D2152" s="80" t="s">
        <v>2187</v>
      </c>
      <c r="E2152" s="80" t="b">
        <v>0</v>
      </c>
      <c r="F2152" s="80" t="b">
        <v>0</v>
      </c>
      <c r="G2152" s="80" t="b">
        <v>0</v>
      </c>
    </row>
    <row r="2153" spans="1:7" ht="15">
      <c r="A2153" s="81" t="s">
        <v>3137</v>
      </c>
      <c r="B2153" s="80">
        <v>2</v>
      </c>
      <c r="C2153" s="104">
        <v>0.0016658516417219283</v>
      </c>
      <c r="D2153" s="80" t="s">
        <v>2187</v>
      </c>
      <c r="E2153" s="80" t="b">
        <v>0</v>
      </c>
      <c r="F2153" s="80" t="b">
        <v>0</v>
      </c>
      <c r="G2153" s="80" t="b">
        <v>0</v>
      </c>
    </row>
    <row r="2154" spans="1:7" ht="15">
      <c r="A2154" s="81" t="s">
        <v>2234</v>
      </c>
      <c r="B2154" s="80">
        <v>2</v>
      </c>
      <c r="C2154" s="104">
        <v>0.0012394635458805952</v>
      </c>
      <c r="D2154" s="80" t="s">
        <v>2187</v>
      </c>
      <c r="E2154" s="80" t="b">
        <v>0</v>
      </c>
      <c r="F2154" s="80" t="b">
        <v>0</v>
      </c>
      <c r="G2154" s="80" t="b">
        <v>0</v>
      </c>
    </row>
    <row r="2155" spans="1:7" ht="15">
      <c r="A2155" s="81" t="s">
        <v>3333</v>
      </c>
      <c r="B2155" s="80">
        <v>2</v>
      </c>
      <c r="C2155" s="104">
        <v>0.0016658516417219283</v>
      </c>
      <c r="D2155" s="80" t="s">
        <v>2187</v>
      </c>
      <c r="E2155" s="80" t="b">
        <v>0</v>
      </c>
      <c r="F2155" s="80" t="b">
        <v>0</v>
      </c>
      <c r="G2155" s="80" t="b">
        <v>0</v>
      </c>
    </row>
    <row r="2156" spans="1:7" ht="15">
      <c r="A2156" s="81" t="s">
        <v>2543</v>
      </c>
      <c r="B2156" s="80">
        <v>2</v>
      </c>
      <c r="C2156" s="104">
        <v>0.0016658516417219283</v>
      </c>
      <c r="D2156" s="80" t="s">
        <v>2187</v>
      </c>
      <c r="E2156" s="80" t="b">
        <v>0</v>
      </c>
      <c r="F2156" s="80" t="b">
        <v>0</v>
      </c>
      <c r="G2156" s="80" t="b">
        <v>0</v>
      </c>
    </row>
    <row r="2157" spans="1:7" ht="15">
      <c r="A2157" s="81" t="s">
        <v>2570</v>
      </c>
      <c r="B2157" s="80">
        <v>2</v>
      </c>
      <c r="C2157" s="104">
        <v>0.0016658516417219283</v>
      </c>
      <c r="D2157" s="80" t="s">
        <v>2187</v>
      </c>
      <c r="E2157" s="80" t="b">
        <v>0</v>
      </c>
      <c r="F2157" s="80" t="b">
        <v>0</v>
      </c>
      <c r="G2157" s="80" t="b">
        <v>0</v>
      </c>
    </row>
    <row r="2158" spans="1:7" ht="15">
      <c r="A2158" s="81" t="s">
        <v>2265</v>
      </c>
      <c r="B2158" s="80">
        <v>2</v>
      </c>
      <c r="C2158" s="104">
        <v>0.0016658516417219283</v>
      </c>
      <c r="D2158" s="80" t="s">
        <v>2187</v>
      </c>
      <c r="E2158" s="80" t="b">
        <v>0</v>
      </c>
      <c r="F2158" s="80" t="b">
        <v>0</v>
      </c>
      <c r="G2158" s="80" t="b">
        <v>0</v>
      </c>
    </row>
    <row r="2159" spans="1:7" ht="15">
      <c r="A2159" s="81" t="s">
        <v>2268</v>
      </c>
      <c r="B2159" s="80">
        <v>2</v>
      </c>
      <c r="C2159" s="104">
        <v>0.0016658516417219283</v>
      </c>
      <c r="D2159" s="80" t="s">
        <v>2187</v>
      </c>
      <c r="E2159" s="80" t="b">
        <v>0</v>
      </c>
      <c r="F2159" s="80" t="b">
        <v>0</v>
      </c>
      <c r="G2159" s="80" t="b">
        <v>0</v>
      </c>
    </row>
    <row r="2160" spans="1:7" ht="15">
      <c r="A2160" s="81" t="s">
        <v>2237</v>
      </c>
      <c r="B2160" s="80">
        <v>2</v>
      </c>
      <c r="C2160" s="104">
        <v>0.0016658516417219283</v>
      </c>
      <c r="D2160" s="80" t="s">
        <v>2187</v>
      </c>
      <c r="E2160" s="80" t="b">
        <v>0</v>
      </c>
      <c r="F2160" s="80" t="b">
        <v>0</v>
      </c>
      <c r="G2160" s="80" t="b">
        <v>0</v>
      </c>
    </row>
    <row r="2161" spans="1:7" ht="15">
      <c r="A2161" s="81" t="s">
        <v>2768</v>
      </c>
      <c r="B2161" s="80">
        <v>2</v>
      </c>
      <c r="C2161" s="104">
        <v>0.0016658516417219283</v>
      </c>
      <c r="D2161" s="80" t="s">
        <v>2187</v>
      </c>
      <c r="E2161" s="80" t="b">
        <v>0</v>
      </c>
      <c r="F2161" s="80" t="b">
        <v>0</v>
      </c>
      <c r="G2161" s="80" t="b">
        <v>0</v>
      </c>
    </row>
    <row r="2162" spans="1:7" ht="15">
      <c r="A2162" s="81" t="s">
        <v>2963</v>
      </c>
      <c r="B2162" s="80">
        <v>2</v>
      </c>
      <c r="C2162" s="104">
        <v>0.0016658516417219283</v>
      </c>
      <c r="D2162" s="80" t="s">
        <v>2187</v>
      </c>
      <c r="E2162" s="80" t="b">
        <v>0</v>
      </c>
      <c r="F2162" s="80" t="b">
        <v>0</v>
      </c>
      <c r="G2162" s="80" t="b">
        <v>0</v>
      </c>
    </row>
    <row r="2163" spans="1:7" ht="15">
      <c r="A2163" s="81" t="s">
        <v>3132</v>
      </c>
      <c r="B2163" s="80">
        <v>2</v>
      </c>
      <c r="C2163" s="104">
        <v>0.0016658516417219283</v>
      </c>
      <c r="D2163" s="80" t="s">
        <v>2187</v>
      </c>
      <c r="E2163" s="80" t="b">
        <v>0</v>
      </c>
      <c r="F2163" s="80" t="b">
        <v>0</v>
      </c>
      <c r="G2163" s="80" t="b">
        <v>0</v>
      </c>
    </row>
    <row r="2164" spans="1:7" ht="15">
      <c r="A2164" s="81" t="s">
        <v>2583</v>
      </c>
      <c r="B2164" s="80">
        <v>2</v>
      </c>
      <c r="C2164" s="104">
        <v>0.0016658516417219283</v>
      </c>
      <c r="D2164" s="80" t="s">
        <v>2187</v>
      </c>
      <c r="E2164" s="80" t="b">
        <v>0</v>
      </c>
      <c r="F2164" s="80" t="b">
        <v>0</v>
      </c>
      <c r="G2164" s="80" t="b">
        <v>0</v>
      </c>
    </row>
    <row r="2165" spans="1:7" ht="15">
      <c r="A2165" s="81" t="s">
        <v>2257</v>
      </c>
      <c r="B2165" s="80">
        <v>2</v>
      </c>
      <c r="C2165" s="104">
        <v>0.0016658516417219283</v>
      </c>
      <c r="D2165" s="80" t="s">
        <v>2187</v>
      </c>
      <c r="E2165" s="80" t="b">
        <v>0</v>
      </c>
      <c r="F2165" s="80" t="b">
        <v>0</v>
      </c>
      <c r="G2165" s="80" t="b">
        <v>0</v>
      </c>
    </row>
    <row r="2166" spans="1:7" ht="15">
      <c r="A2166" s="81" t="s">
        <v>3285</v>
      </c>
      <c r="B2166" s="80">
        <v>2</v>
      </c>
      <c r="C2166" s="104">
        <v>0.0016658516417219283</v>
      </c>
      <c r="D2166" s="80" t="s">
        <v>2187</v>
      </c>
      <c r="E2166" s="80" t="b">
        <v>0</v>
      </c>
      <c r="F2166" s="80" t="b">
        <v>0</v>
      </c>
      <c r="G2166" s="80" t="b">
        <v>0</v>
      </c>
    </row>
    <row r="2167" spans="1:7" ht="15">
      <c r="A2167" s="81" t="s">
        <v>2911</v>
      </c>
      <c r="B2167" s="80">
        <v>2</v>
      </c>
      <c r="C2167" s="104">
        <v>0.0016658516417219283</v>
      </c>
      <c r="D2167" s="80" t="s">
        <v>2187</v>
      </c>
      <c r="E2167" s="80" t="b">
        <v>0</v>
      </c>
      <c r="F2167" s="80" t="b">
        <v>0</v>
      </c>
      <c r="G2167" s="80" t="b">
        <v>0</v>
      </c>
    </row>
    <row r="2168" spans="1:7" ht="15">
      <c r="A2168" s="81" t="s">
        <v>2865</v>
      </c>
      <c r="B2168" s="80">
        <v>2</v>
      </c>
      <c r="C2168" s="104">
        <v>0.0012394635458805952</v>
      </c>
      <c r="D2168" s="80" t="s">
        <v>2187</v>
      </c>
      <c r="E2168" s="80" t="b">
        <v>0</v>
      </c>
      <c r="F2168" s="80" t="b">
        <v>0</v>
      </c>
      <c r="G2168" s="80" t="b">
        <v>0</v>
      </c>
    </row>
    <row r="2169" spans="1:7" ht="15">
      <c r="A2169" s="81" t="s">
        <v>3197</v>
      </c>
      <c r="B2169" s="80">
        <v>2</v>
      </c>
      <c r="C2169" s="104">
        <v>0.0012394635458805952</v>
      </c>
      <c r="D2169" s="80" t="s">
        <v>2187</v>
      </c>
      <c r="E2169" s="80" t="b">
        <v>0</v>
      </c>
      <c r="F2169" s="80" t="b">
        <v>0</v>
      </c>
      <c r="G2169" s="80" t="b">
        <v>0</v>
      </c>
    </row>
    <row r="2170" spans="1:7" ht="15">
      <c r="A2170" s="81" t="s">
        <v>3088</v>
      </c>
      <c r="B2170" s="80">
        <v>2</v>
      </c>
      <c r="C2170" s="104">
        <v>0.0016658516417219283</v>
      </c>
      <c r="D2170" s="80" t="s">
        <v>2187</v>
      </c>
      <c r="E2170" s="80" t="b">
        <v>0</v>
      </c>
      <c r="F2170" s="80" t="b">
        <v>0</v>
      </c>
      <c r="G2170" s="80" t="b">
        <v>0</v>
      </c>
    </row>
    <row r="2171" spans="1:7" ht="15">
      <c r="A2171" s="81" t="s">
        <v>3009</v>
      </c>
      <c r="B2171" s="80">
        <v>2</v>
      </c>
      <c r="C2171" s="104">
        <v>0.0012394635458805952</v>
      </c>
      <c r="D2171" s="80" t="s">
        <v>2187</v>
      </c>
      <c r="E2171" s="80" t="b">
        <v>0</v>
      </c>
      <c r="F2171" s="80" t="b">
        <v>0</v>
      </c>
      <c r="G2171" s="80" t="b">
        <v>0</v>
      </c>
    </row>
    <row r="2172" spans="1:7" ht="15">
      <c r="A2172" s="81" t="s">
        <v>2440</v>
      </c>
      <c r="B2172" s="80">
        <v>2</v>
      </c>
      <c r="C2172" s="104">
        <v>0.0016658516417219283</v>
      </c>
      <c r="D2172" s="80" t="s">
        <v>2187</v>
      </c>
      <c r="E2172" s="80" t="b">
        <v>0</v>
      </c>
      <c r="F2172" s="80" t="b">
        <v>0</v>
      </c>
      <c r="G2172" s="80" t="b">
        <v>0</v>
      </c>
    </row>
    <row r="2173" spans="1:7" ht="15">
      <c r="A2173" s="81" t="s">
        <v>2426</v>
      </c>
      <c r="B2173" s="80">
        <v>2</v>
      </c>
      <c r="C2173" s="104">
        <v>0.0016658516417219283</v>
      </c>
      <c r="D2173" s="80" t="s">
        <v>2187</v>
      </c>
      <c r="E2173" s="80" t="b">
        <v>0</v>
      </c>
      <c r="F2173" s="80" t="b">
        <v>0</v>
      </c>
      <c r="G2173" s="80" t="b">
        <v>0</v>
      </c>
    </row>
    <row r="2174" spans="1:7" ht="15">
      <c r="A2174" s="81" t="s">
        <v>3041</v>
      </c>
      <c r="B2174" s="80">
        <v>2</v>
      </c>
      <c r="C2174" s="104">
        <v>0.0016658516417219283</v>
      </c>
      <c r="D2174" s="80" t="s">
        <v>2187</v>
      </c>
      <c r="E2174" s="80" t="b">
        <v>0</v>
      </c>
      <c r="F2174" s="80" t="b">
        <v>0</v>
      </c>
      <c r="G2174" s="80" t="b">
        <v>0</v>
      </c>
    </row>
    <row r="2175" spans="1:7" ht="15">
      <c r="A2175" s="81" t="s">
        <v>3361</v>
      </c>
      <c r="B2175" s="80">
        <v>2</v>
      </c>
      <c r="C2175" s="104">
        <v>0.0016658516417219283</v>
      </c>
      <c r="D2175" s="80" t="s">
        <v>2187</v>
      </c>
      <c r="E2175" s="80" t="b">
        <v>0</v>
      </c>
      <c r="F2175" s="80" t="b">
        <v>0</v>
      </c>
      <c r="G2175" s="80" t="b">
        <v>0</v>
      </c>
    </row>
    <row r="2176" spans="1:7" ht="15">
      <c r="A2176" s="81" t="s">
        <v>3329</v>
      </c>
      <c r="B2176" s="80">
        <v>2</v>
      </c>
      <c r="C2176" s="104">
        <v>0.0016658516417219283</v>
      </c>
      <c r="D2176" s="80" t="s">
        <v>2187</v>
      </c>
      <c r="E2176" s="80" t="b">
        <v>0</v>
      </c>
      <c r="F2176" s="80" t="b">
        <v>0</v>
      </c>
      <c r="G2176" s="80" t="b">
        <v>0</v>
      </c>
    </row>
    <row r="2177" spans="1:7" ht="15">
      <c r="A2177" s="81" t="s">
        <v>2938</v>
      </c>
      <c r="B2177" s="80">
        <v>2</v>
      </c>
      <c r="C2177" s="104">
        <v>0.0012394635458805952</v>
      </c>
      <c r="D2177" s="80" t="s">
        <v>2187</v>
      </c>
      <c r="E2177" s="80" t="b">
        <v>0</v>
      </c>
      <c r="F2177" s="80" t="b">
        <v>0</v>
      </c>
      <c r="G2177" s="80" t="b">
        <v>0</v>
      </c>
    </row>
    <row r="2178" spans="1:7" ht="15">
      <c r="A2178" s="81" t="s">
        <v>2481</v>
      </c>
      <c r="B2178" s="80">
        <v>2</v>
      </c>
      <c r="C2178" s="104">
        <v>0.0016658516417219283</v>
      </c>
      <c r="D2178" s="80" t="s">
        <v>2187</v>
      </c>
      <c r="E2178" s="80" t="b">
        <v>0</v>
      </c>
      <c r="F2178" s="80" t="b">
        <v>0</v>
      </c>
      <c r="G2178" s="80" t="b">
        <v>0</v>
      </c>
    </row>
    <row r="2179" spans="1:7" ht="15">
      <c r="A2179" s="81" t="s">
        <v>3055</v>
      </c>
      <c r="B2179" s="80">
        <v>2</v>
      </c>
      <c r="C2179" s="104">
        <v>0.0016658516417219283</v>
      </c>
      <c r="D2179" s="80" t="s">
        <v>2187</v>
      </c>
      <c r="E2179" s="80" t="b">
        <v>0</v>
      </c>
      <c r="F2179" s="80" t="b">
        <v>0</v>
      </c>
      <c r="G2179" s="80" t="b">
        <v>0</v>
      </c>
    </row>
    <row r="2180" spans="1:7" ht="15">
      <c r="A2180" s="81" t="s">
        <v>2275</v>
      </c>
      <c r="B2180" s="80">
        <v>2</v>
      </c>
      <c r="C2180" s="104">
        <v>0.0012394635458805952</v>
      </c>
      <c r="D2180" s="80" t="s">
        <v>2187</v>
      </c>
      <c r="E2180" s="80" t="b">
        <v>0</v>
      </c>
      <c r="F2180" s="80" t="b">
        <v>0</v>
      </c>
      <c r="G2180" s="80" t="b">
        <v>0</v>
      </c>
    </row>
    <row r="2181" spans="1:7" ht="15">
      <c r="A2181" s="81" t="s">
        <v>2647</v>
      </c>
      <c r="B2181" s="80">
        <v>2</v>
      </c>
      <c r="C2181" s="104">
        <v>0.0012394635458805952</v>
      </c>
      <c r="D2181" s="80" t="s">
        <v>2187</v>
      </c>
      <c r="E2181" s="80" t="b">
        <v>0</v>
      </c>
      <c r="F2181" s="80" t="b">
        <v>0</v>
      </c>
      <c r="G2181" s="80" t="b">
        <v>0</v>
      </c>
    </row>
    <row r="2182" spans="1:7" ht="15">
      <c r="A2182" s="81" t="s">
        <v>3072</v>
      </c>
      <c r="B2182" s="80">
        <v>2</v>
      </c>
      <c r="C2182" s="104">
        <v>0.0016658516417219283</v>
      </c>
      <c r="D2182" s="80" t="s">
        <v>2187</v>
      </c>
      <c r="E2182" s="80" t="b">
        <v>0</v>
      </c>
      <c r="F2182" s="80" t="b">
        <v>0</v>
      </c>
      <c r="G2182" s="80" t="b">
        <v>0</v>
      </c>
    </row>
    <row r="2183" spans="1:7" ht="15">
      <c r="A2183" s="81" t="s">
        <v>2870</v>
      </c>
      <c r="B2183" s="80">
        <v>2</v>
      </c>
      <c r="C2183" s="104">
        <v>0.0016658516417219283</v>
      </c>
      <c r="D2183" s="80" t="s">
        <v>2187</v>
      </c>
      <c r="E2183" s="80" t="b">
        <v>0</v>
      </c>
      <c r="F2183" s="80" t="b">
        <v>0</v>
      </c>
      <c r="G2183" s="80" t="b">
        <v>0</v>
      </c>
    </row>
    <row r="2184" spans="1:7" ht="15">
      <c r="A2184" s="81" t="s">
        <v>3069</v>
      </c>
      <c r="B2184" s="80">
        <v>2</v>
      </c>
      <c r="C2184" s="104">
        <v>0.0016658516417219283</v>
      </c>
      <c r="D2184" s="80" t="s">
        <v>2187</v>
      </c>
      <c r="E2184" s="80" t="b">
        <v>0</v>
      </c>
      <c r="F2184" s="80" t="b">
        <v>0</v>
      </c>
      <c r="G2184" s="80" t="b">
        <v>0</v>
      </c>
    </row>
    <row r="2185" spans="1:7" ht="15">
      <c r="A2185" s="81" t="s">
        <v>2709</v>
      </c>
      <c r="B2185" s="80">
        <v>2</v>
      </c>
      <c r="C2185" s="104">
        <v>0.0012394635458805952</v>
      </c>
      <c r="D2185" s="80" t="s">
        <v>2187</v>
      </c>
      <c r="E2185" s="80" t="b">
        <v>0</v>
      </c>
      <c r="F2185" s="80" t="b">
        <v>0</v>
      </c>
      <c r="G2185" s="80" t="b">
        <v>0</v>
      </c>
    </row>
    <row r="2186" spans="1:7" ht="15">
      <c r="A2186" s="81" t="s">
        <v>3279</v>
      </c>
      <c r="B2186" s="80">
        <v>2</v>
      </c>
      <c r="C2186" s="104">
        <v>0.0016658516417219283</v>
      </c>
      <c r="D2186" s="80" t="s">
        <v>2187</v>
      </c>
      <c r="E2186" s="80" t="b">
        <v>0</v>
      </c>
      <c r="F2186" s="80" t="b">
        <v>0</v>
      </c>
      <c r="G2186" s="80" t="b">
        <v>0</v>
      </c>
    </row>
    <row r="2187" spans="1:7" ht="15">
      <c r="A2187" s="81" t="s">
        <v>2884</v>
      </c>
      <c r="B2187" s="80">
        <v>2</v>
      </c>
      <c r="C2187" s="104">
        <v>0.0016658516417219283</v>
      </c>
      <c r="D2187" s="80" t="s">
        <v>2187</v>
      </c>
      <c r="E2187" s="80" t="b">
        <v>0</v>
      </c>
      <c r="F2187" s="80" t="b">
        <v>0</v>
      </c>
      <c r="G2187" s="80" t="b">
        <v>0</v>
      </c>
    </row>
    <row r="2188" spans="1:7" ht="15">
      <c r="A2188" s="81" t="s">
        <v>3275</v>
      </c>
      <c r="B2188" s="80">
        <v>2</v>
      </c>
      <c r="C2188" s="104">
        <v>0.0016658516417219283</v>
      </c>
      <c r="D2188" s="80" t="s">
        <v>2187</v>
      </c>
      <c r="E2188" s="80" t="b">
        <v>0</v>
      </c>
      <c r="F2188" s="80" t="b">
        <v>0</v>
      </c>
      <c r="G2188" s="80" t="b">
        <v>0</v>
      </c>
    </row>
    <row r="2189" spans="1:7" ht="15">
      <c r="A2189" s="81" t="s">
        <v>2444</v>
      </c>
      <c r="B2189" s="80">
        <v>2</v>
      </c>
      <c r="C2189" s="104">
        <v>0.0012394635458805952</v>
      </c>
      <c r="D2189" s="80" t="s">
        <v>2187</v>
      </c>
      <c r="E2189" s="80" t="b">
        <v>0</v>
      </c>
      <c r="F2189" s="80" t="b">
        <v>0</v>
      </c>
      <c r="G2189" s="80" t="b">
        <v>0</v>
      </c>
    </row>
    <row r="2190" spans="1:7" ht="15">
      <c r="A2190" s="81" t="s">
        <v>2296</v>
      </c>
      <c r="B2190" s="80">
        <v>2</v>
      </c>
      <c r="C2190" s="104">
        <v>0.0016658516417219283</v>
      </c>
      <c r="D2190" s="80" t="s">
        <v>2187</v>
      </c>
      <c r="E2190" s="80" t="b">
        <v>0</v>
      </c>
      <c r="F2190" s="80" t="b">
        <v>0</v>
      </c>
      <c r="G2190" s="80" t="b">
        <v>0</v>
      </c>
    </row>
    <row r="2191" spans="1:7" ht="15">
      <c r="A2191" s="81" t="s">
        <v>2918</v>
      </c>
      <c r="B2191" s="80">
        <v>2</v>
      </c>
      <c r="C2191" s="104">
        <v>0.0016658516417219283</v>
      </c>
      <c r="D2191" s="80" t="s">
        <v>2187</v>
      </c>
      <c r="E2191" s="80" t="b">
        <v>0</v>
      </c>
      <c r="F2191" s="80" t="b">
        <v>0</v>
      </c>
      <c r="G2191" s="80" t="b">
        <v>0</v>
      </c>
    </row>
    <row r="2192" spans="1:7" ht="15">
      <c r="A2192" s="81" t="s">
        <v>2383</v>
      </c>
      <c r="B2192" s="80">
        <v>2</v>
      </c>
      <c r="C2192" s="104">
        <v>0.0016658516417219283</v>
      </c>
      <c r="D2192" s="80" t="s">
        <v>2187</v>
      </c>
      <c r="E2192" s="80" t="b">
        <v>1</v>
      </c>
      <c r="F2192" s="80" t="b">
        <v>0</v>
      </c>
      <c r="G2192" s="80" t="b">
        <v>0</v>
      </c>
    </row>
    <row r="2193" spans="1:7" ht="15">
      <c r="A2193" s="81" t="s">
        <v>3025</v>
      </c>
      <c r="B2193" s="80">
        <v>2</v>
      </c>
      <c r="C2193" s="104">
        <v>0.0016658516417219283</v>
      </c>
      <c r="D2193" s="80" t="s">
        <v>2187</v>
      </c>
      <c r="E2193" s="80" t="b">
        <v>0</v>
      </c>
      <c r="F2193" s="80" t="b">
        <v>0</v>
      </c>
      <c r="G2193" s="80" t="b">
        <v>0</v>
      </c>
    </row>
    <row r="2194" spans="1:7" ht="15">
      <c r="A2194" s="81" t="s">
        <v>3184</v>
      </c>
      <c r="B2194" s="80">
        <v>2</v>
      </c>
      <c r="C2194" s="104">
        <v>0.0016658516417219283</v>
      </c>
      <c r="D2194" s="80" t="s">
        <v>2187</v>
      </c>
      <c r="E2194" s="80" t="b">
        <v>0</v>
      </c>
      <c r="F2194" s="80" t="b">
        <v>0</v>
      </c>
      <c r="G2194" s="80" t="b">
        <v>0</v>
      </c>
    </row>
    <row r="2195" spans="1:7" ht="15">
      <c r="A2195" s="81" t="s">
        <v>3056</v>
      </c>
      <c r="B2195" s="80">
        <v>2</v>
      </c>
      <c r="C2195" s="104">
        <v>0.0016658516417219283</v>
      </c>
      <c r="D2195" s="80" t="s">
        <v>2187</v>
      </c>
      <c r="E2195" s="80" t="b">
        <v>0</v>
      </c>
      <c r="F2195" s="80" t="b">
        <v>0</v>
      </c>
      <c r="G2195" s="80" t="b">
        <v>0</v>
      </c>
    </row>
    <row r="2196" spans="1:7" ht="15">
      <c r="A2196" s="81" t="s">
        <v>2314</v>
      </c>
      <c r="B2196" s="80">
        <v>2</v>
      </c>
      <c r="C2196" s="104">
        <v>0.0016658516417219283</v>
      </c>
      <c r="D2196" s="80" t="s">
        <v>2187</v>
      </c>
      <c r="E2196" s="80" t="b">
        <v>0</v>
      </c>
      <c r="F2196" s="80" t="b">
        <v>0</v>
      </c>
      <c r="G2196" s="80" t="b">
        <v>0</v>
      </c>
    </row>
    <row r="2197" spans="1:7" ht="15">
      <c r="A2197" s="81" t="s">
        <v>3344</v>
      </c>
      <c r="B2197" s="80">
        <v>2</v>
      </c>
      <c r="C2197" s="104">
        <v>0.0016658516417219283</v>
      </c>
      <c r="D2197" s="80" t="s">
        <v>2187</v>
      </c>
      <c r="E2197" s="80" t="b">
        <v>0</v>
      </c>
      <c r="F2197" s="80" t="b">
        <v>0</v>
      </c>
      <c r="G2197" s="80" t="b">
        <v>0</v>
      </c>
    </row>
    <row r="2198" spans="1:7" ht="15">
      <c r="A2198" s="81" t="s">
        <v>2896</v>
      </c>
      <c r="B2198" s="80">
        <v>2</v>
      </c>
      <c r="C2198" s="104">
        <v>0.0016658516417219283</v>
      </c>
      <c r="D2198" s="80" t="s">
        <v>2187</v>
      </c>
      <c r="E2198" s="80" t="b">
        <v>0</v>
      </c>
      <c r="F2198" s="80" t="b">
        <v>0</v>
      </c>
      <c r="G2198" s="80" t="b">
        <v>0</v>
      </c>
    </row>
    <row r="2199" spans="1:7" ht="15">
      <c r="A2199" s="81" t="s">
        <v>2414</v>
      </c>
      <c r="B2199" s="80">
        <v>2</v>
      </c>
      <c r="C2199" s="104">
        <v>0.0012394635458805952</v>
      </c>
      <c r="D2199" s="80" t="s">
        <v>2187</v>
      </c>
      <c r="E2199" s="80" t="b">
        <v>0</v>
      </c>
      <c r="F2199" s="80" t="b">
        <v>0</v>
      </c>
      <c r="G2199" s="80" t="b">
        <v>0</v>
      </c>
    </row>
    <row r="2200" spans="1:7" ht="15">
      <c r="A2200" s="81" t="s">
        <v>2236</v>
      </c>
      <c r="B2200" s="80">
        <v>2</v>
      </c>
      <c r="C2200" s="104">
        <v>0.0012394635458805952</v>
      </c>
      <c r="D2200" s="80" t="s">
        <v>2187</v>
      </c>
      <c r="E2200" s="80" t="b">
        <v>0</v>
      </c>
      <c r="F2200" s="80" t="b">
        <v>0</v>
      </c>
      <c r="G2200" s="80" t="b">
        <v>0</v>
      </c>
    </row>
    <row r="2201" spans="1:7" ht="15">
      <c r="A2201" s="81" t="s">
        <v>3022</v>
      </c>
      <c r="B2201" s="80">
        <v>2</v>
      </c>
      <c r="C2201" s="104">
        <v>0.0016658516417219283</v>
      </c>
      <c r="D2201" s="80" t="s">
        <v>2187</v>
      </c>
      <c r="E2201" s="80" t="b">
        <v>0</v>
      </c>
      <c r="F2201" s="80" t="b">
        <v>0</v>
      </c>
      <c r="G2201" s="80" t="b">
        <v>0</v>
      </c>
    </row>
    <row r="2202" spans="1:7" ht="15">
      <c r="A2202" s="81" t="s">
        <v>3091</v>
      </c>
      <c r="B2202" s="80">
        <v>2</v>
      </c>
      <c r="C2202" s="104">
        <v>0.0016658516417219283</v>
      </c>
      <c r="D2202" s="80" t="s">
        <v>2187</v>
      </c>
      <c r="E2202" s="80" t="b">
        <v>0</v>
      </c>
      <c r="F2202" s="80" t="b">
        <v>0</v>
      </c>
      <c r="G2202" s="80" t="b">
        <v>0</v>
      </c>
    </row>
    <row r="2203" spans="1:7" ht="15">
      <c r="A2203" s="81" t="s">
        <v>3214</v>
      </c>
      <c r="B2203" s="80">
        <v>2</v>
      </c>
      <c r="C2203" s="104">
        <v>0.0016658516417219283</v>
      </c>
      <c r="D2203" s="80" t="s">
        <v>2187</v>
      </c>
      <c r="E2203" s="80" t="b">
        <v>0</v>
      </c>
      <c r="F2203" s="80" t="b">
        <v>0</v>
      </c>
      <c r="G2203" s="80" t="b">
        <v>0</v>
      </c>
    </row>
    <row r="2204" spans="1:7" ht="15">
      <c r="A2204" s="81" t="s">
        <v>3014</v>
      </c>
      <c r="B2204" s="80">
        <v>2</v>
      </c>
      <c r="C2204" s="104">
        <v>0.0016658516417219283</v>
      </c>
      <c r="D2204" s="80" t="s">
        <v>2187</v>
      </c>
      <c r="E2204" s="80" t="b">
        <v>0</v>
      </c>
      <c r="F2204" s="80" t="b">
        <v>0</v>
      </c>
      <c r="G2204" s="80" t="b">
        <v>0</v>
      </c>
    </row>
    <row r="2205" spans="1:7" ht="15">
      <c r="A2205" s="81" t="s">
        <v>2515</v>
      </c>
      <c r="B2205" s="80">
        <v>2</v>
      </c>
      <c r="C2205" s="104">
        <v>0.0016658516417219283</v>
      </c>
      <c r="D2205" s="80" t="s">
        <v>2187</v>
      </c>
      <c r="E2205" s="80" t="b">
        <v>0</v>
      </c>
      <c r="F2205" s="80" t="b">
        <v>0</v>
      </c>
      <c r="G2205" s="80" t="b">
        <v>0</v>
      </c>
    </row>
    <row r="2206" spans="1:7" ht="15">
      <c r="A2206" s="81" t="s">
        <v>2853</v>
      </c>
      <c r="B2206" s="80">
        <v>2</v>
      </c>
      <c r="C2206" s="104">
        <v>0.0016658516417219283</v>
      </c>
      <c r="D2206" s="80" t="s">
        <v>2187</v>
      </c>
      <c r="E2206" s="80" t="b">
        <v>0</v>
      </c>
      <c r="F2206" s="80" t="b">
        <v>0</v>
      </c>
      <c r="G2206" s="80" t="b">
        <v>0</v>
      </c>
    </row>
    <row r="2207" spans="1:7" ht="15">
      <c r="A2207" s="81" t="s">
        <v>2961</v>
      </c>
      <c r="B2207" s="80">
        <v>2</v>
      </c>
      <c r="C2207" s="104">
        <v>0.0012394635458805952</v>
      </c>
      <c r="D2207" s="80" t="s">
        <v>2187</v>
      </c>
      <c r="E2207" s="80" t="b">
        <v>0</v>
      </c>
      <c r="F2207" s="80" t="b">
        <v>0</v>
      </c>
      <c r="G2207" s="80" t="b">
        <v>0</v>
      </c>
    </row>
    <row r="2208" spans="1:7" ht="15">
      <c r="A2208" s="81" t="s">
        <v>2908</v>
      </c>
      <c r="B2208" s="80">
        <v>2</v>
      </c>
      <c r="C2208" s="104">
        <v>0.0016658516417219283</v>
      </c>
      <c r="D2208" s="80" t="s">
        <v>2187</v>
      </c>
      <c r="E2208" s="80" t="b">
        <v>0</v>
      </c>
      <c r="F2208" s="80" t="b">
        <v>0</v>
      </c>
      <c r="G2208" s="80" t="b">
        <v>0</v>
      </c>
    </row>
    <row r="2209" spans="1:7" ht="15">
      <c r="A2209" s="81" t="s">
        <v>3138</v>
      </c>
      <c r="B2209" s="80">
        <v>2</v>
      </c>
      <c r="C2209" s="104">
        <v>0.0016658516417219283</v>
      </c>
      <c r="D2209" s="80" t="s">
        <v>2187</v>
      </c>
      <c r="E2209" s="80" t="b">
        <v>0</v>
      </c>
      <c r="F2209" s="80" t="b">
        <v>0</v>
      </c>
      <c r="G2209" s="80" t="b">
        <v>0</v>
      </c>
    </row>
    <row r="2210" spans="1:7" ht="15">
      <c r="A2210" s="81" t="s">
        <v>2965</v>
      </c>
      <c r="B2210" s="80">
        <v>2</v>
      </c>
      <c r="C2210" s="104">
        <v>0.0016658516417219283</v>
      </c>
      <c r="D2210" s="80" t="s">
        <v>2187</v>
      </c>
      <c r="E2210" s="80" t="b">
        <v>0</v>
      </c>
      <c r="F2210" s="80" t="b">
        <v>0</v>
      </c>
      <c r="G2210" s="80" t="b">
        <v>0</v>
      </c>
    </row>
    <row r="2211" spans="1:7" ht="15">
      <c r="A2211" s="81" t="s">
        <v>3098</v>
      </c>
      <c r="B2211" s="80">
        <v>2</v>
      </c>
      <c r="C2211" s="104">
        <v>0.0016658516417219283</v>
      </c>
      <c r="D2211" s="80" t="s">
        <v>2187</v>
      </c>
      <c r="E2211" s="80" t="b">
        <v>0</v>
      </c>
      <c r="F2211" s="80" t="b">
        <v>0</v>
      </c>
      <c r="G2211" s="80" t="b">
        <v>0</v>
      </c>
    </row>
    <row r="2212" spans="1:7" ht="15">
      <c r="A2212" s="81" t="s">
        <v>2248</v>
      </c>
      <c r="B2212" s="80">
        <v>2</v>
      </c>
      <c r="C2212" s="104">
        <v>0.0012394635458805952</v>
      </c>
      <c r="D2212" s="80" t="s">
        <v>2187</v>
      </c>
      <c r="E2212" s="80" t="b">
        <v>0</v>
      </c>
      <c r="F2212" s="80" t="b">
        <v>0</v>
      </c>
      <c r="G2212" s="80" t="b">
        <v>0</v>
      </c>
    </row>
    <row r="2213" spans="1:7" ht="15">
      <c r="A2213" s="81" t="s">
        <v>3262</v>
      </c>
      <c r="B2213" s="80">
        <v>2</v>
      </c>
      <c r="C2213" s="104">
        <v>0.0016658516417219283</v>
      </c>
      <c r="D2213" s="80" t="s">
        <v>2187</v>
      </c>
      <c r="E2213" s="80" t="b">
        <v>0</v>
      </c>
      <c r="F2213" s="80" t="b">
        <v>0</v>
      </c>
      <c r="G2213" s="80" t="b">
        <v>0</v>
      </c>
    </row>
    <row r="2214" spans="1:7" ht="15">
      <c r="A2214" s="81" t="s">
        <v>2563</v>
      </c>
      <c r="B2214" s="80">
        <v>2</v>
      </c>
      <c r="C2214" s="104">
        <v>0.0012394635458805952</v>
      </c>
      <c r="D2214" s="80" t="s">
        <v>2187</v>
      </c>
      <c r="E2214" s="80" t="b">
        <v>0</v>
      </c>
      <c r="F2214" s="80" t="b">
        <v>0</v>
      </c>
      <c r="G2214" s="80" t="b">
        <v>0</v>
      </c>
    </row>
    <row r="2215" spans="1:7" ht="15">
      <c r="A2215" s="81" t="s">
        <v>2954</v>
      </c>
      <c r="B2215" s="80">
        <v>2</v>
      </c>
      <c r="C2215" s="104">
        <v>0.0016658516417219283</v>
      </c>
      <c r="D2215" s="80" t="s">
        <v>2187</v>
      </c>
      <c r="E2215" s="80" t="b">
        <v>0</v>
      </c>
      <c r="F2215" s="80" t="b">
        <v>0</v>
      </c>
      <c r="G2215" s="80" t="b">
        <v>0</v>
      </c>
    </row>
    <row r="2216" spans="1:7" ht="15">
      <c r="A2216" s="81" t="s">
        <v>3101</v>
      </c>
      <c r="B2216" s="80">
        <v>2</v>
      </c>
      <c r="C2216" s="104">
        <v>0.0016658516417219283</v>
      </c>
      <c r="D2216" s="80" t="s">
        <v>2187</v>
      </c>
      <c r="E2216" s="80" t="b">
        <v>0</v>
      </c>
      <c r="F2216" s="80" t="b">
        <v>0</v>
      </c>
      <c r="G2216" s="80" t="b">
        <v>0</v>
      </c>
    </row>
    <row r="2217" spans="1:7" ht="15">
      <c r="A2217" s="81" t="s">
        <v>3164</v>
      </c>
      <c r="B2217" s="80">
        <v>2</v>
      </c>
      <c r="C2217" s="104">
        <v>0.0012394635458805952</v>
      </c>
      <c r="D2217" s="80" t="s">
        <v>2187</v>
      </c>
      <c r="E2217" s="80" t="b">
        <v>0</v>
      </c>
      <c r="F2217" s="80" t="b">
        <v>0</v>
      </c>
      <c r="G2217" s="80" t="b">
        <v>0</v>
      </c>
    </row>
    <row r="2218" spans="1:7" ht="15">
      <c r="A2218" s="81" t="s">
        <v>3312</v>
      </c>
      <c r="B2218" s="80">
        <v>2</v>
      </c>
      <c r="C2218" s="104">
        <v>0.0016658516417219283</v>
      </c>
      <c r="D2218" s="80" t="s">
        <v>2187</v>
      </c>
      <c r="E2218" s="80" t="b">
        <v>0</v>
      </c>
      <c r="F2218" s="80" t="b">
        <v>0</v>
      </c>
      <c r="G2218" s="80" t="b">
        <v>0</v>
      </c>
    </row>
    <row r="2219" spans="1:7" ht="15">
      <c r="A2219" s="81" t="s">
        <v>2684</v>
      </c>
      <c r="B2219" s="80">
        <v>2</v>
      </c>
      <c r="C2219" s="104">
        <v>0.0016658516417219283</v>
      </c>
      <c r="D2219" s="80" t="s">
        <v>2187</v>
      </c>
      <c r="E2219" s="80" t="b">
        <v>0</v>
      </c>
      <c r="F2219" s="80" t="b">
        <v>0</v>
      </c>
      <c r="G2219" s="80" t="b">
        <v>0</v>
      </c>
    </row>
    <row r="2220" spans="1:7" ht="15">
      <c r="A2220" s="81" t="s">
        <v>3316</v>
      </c>
      <c r="B2220" s="80">
        <v>2</v>
      </c>
      <c r="C2220" s="104">
        <v>0.0016658516417219283</v>
      </c>
      <c r="D2220" s="80" t="s">
        <v>2187</v>
      </c>
      <c r="E2220" s="80" t="b">
        <v>0</v>
      </c>
      <c r="F2220" s="80" t="b">
        <v>0</v>
      </c>
      <c r="G2220" s="80" t="b">
        <v>0</v>
      </c>
    </row>
    <row r="2221" spans="1:7" ht="15">
      <c r="A2221" s="81" t="s">
        <v>2261</v>
      </c>
      <c r="B2221" s="80">
        <v>2</v>
      </c>
      <c r="C2221" s="104">
        <v>0.0012394635458805952</v>
      </c>
      <c r="D2221" s="80" t="s">
        <v>2187</v>
      </c>
      <c r="E2221" s="80" t="b">
        <v>1</v>
      </c>
      <c r="F2221" s="80" t="b">
        <v>0</v>
      </c>
      <c r="G2221" s="80" t="b">
        <v>0</v>
      </c>
    </row>
    <row r="2222" spans="1:7" ht="15">
      <c r="A2222" s="81" t="s">
        <v>3085</v>
      </c>
      <c r="B2222" s="80">
        <v>2</v>
      </c>
      <c r="C2222" s="104">
        <v>0.0016658516417219283</v>
      </c>
      <c r="D2222" s="80" t="s">
        <v>2187</v>
      </c>
      <c r="E2222" s="80" t="b">
        <v>0</v>
      </c>
      <c r="F2222" s="80" t="b">
        <v>0</v>
      </c>
      <c r="G2222" s="80" t="b">
        <v>0</v>
      </c>
    </row>
    <row r="2223" spans="1:7" ht="15">
      <c r="A2223" s="81" t="s">
        <v>2368</v>
      </c>
      <c r="B2223" s="80">
        <v>2</v>
      </c>
      <c r="C2223" s="104">
        <v>0.0012394635458805952</v>
      </c>
      <c r="D2223" s="80" t="s">
        <v>2187</v>
      </c>
      <c r="E2223" s="80" t="b">
        <v>0</v>
      </c>
      <c r="F2223" s="80" t="b">
        <v>0</v>
      </c>
      <c r="G2223" s="80" t="b">
        <v>0</v>
      </c>
    </row>
    <row r="2224" spans="1:7" ht="15">
      <c r="A2224" s="81" t="s">
        <v>2243</v>
      </c>
      <c r="B2224" s="80">
        <v>2</v>
      </c>
      <c r="C2224" s="104">
        <v>0.0016658516417219283</v>
      </c>
      <c r="D2224" s="80" t="s">
        <v>2187</v>
      </c>
      <c r="E2224" s="80" t="b">
        <v>0</v>
      </c>
      <c r="F2224" s="80" t="b">
        <v>0</v>
      </c>
      <c r="G2224" s="80" t="b">
        <v>0</v>
      </c>
    </row>
    <row r="2225" spans="1:7" ht="15">
      <c r="A2225" s="81" t="s">
        <v>2278</v>
      </c>
      <c r="B2225" s="80">
        <v>2</v>
      </c>
      <c r="C2225" s="104">
        <v>0.0016658516417219283</v>
      </c>
      <c r="D2225" s="80" t="s">
        <v>2187</v>
      </c>
      <c r="E2225" s="80" t="b">
        <v>0</v>
      </c>
      <c r="F2225" s="80" t="b">
        <v>0</v>
      </c>
      <c r="G2225" s="80" t="b">
        <v>0</v>
      </c>
    </row>
    <row r="2226" spans="1:7" ht="15">
      <c r="A2226" s="81" t="s">
        <v>3276</v>
      </c>
      <c r="B2226" s="80">
        <v>2</v>
      </c>
      <c r="C2226" s="104">
        <v>0.0016658516417219283</v>
      </c>
      <c r="D2226" s="80" t="s">
        <v>2187</v>
      </c>
      <c r="E2226" s="80" t="b">
        <v>0</v>
      </c>
      <c r="F2226" s="80" t="b">
        <v>0</v>
      </c>
      <c r="G2226" s="80" t="b">
        <v>0</v>
      </c>
    </row>
    <row r="2227" spans="1:7" ht="15">
      <c r="A2227" s="81" t="s">
        <v>3001</v>
      </c>
      <c r="B2227" s="80">
        <v>2</v>
      </c>
      <c r="C2227" s="104">
        <v>0.0016658516417219283</v>
      </c>
      <c r="D2227" s="80" t="s">
        <v>2187</v>
      </c>
      <c r="E2227" s="80" t="b">
        <v>0</v>
      </c>
      <c r="F2227" s="80" t="b">
        <v>0</v>
      </c>
      <c r="G2227" s="80" t="b">
        <v>0</v>
      </c>
    </row>
    <row r="2228" spans="1:7" ht="15">
      <c r="A2228" s="81" t="s">
        <v>3059</v>
      </c>
      <c r="B2228" s="80">
        <v>2</v>
      </c>
      <c r="C2228" s="104">
        <v>0.0016658516417219283</v>
      </c>
      <c r="D2228" s="80" t="s">
        <v>2187</v>
      </c>
      <c r="E2228" s="80" t="b">
        <v>0</v>
      </c>
      <c r="F2228" s="80" t="b">
        <v>0</v>
      </c>
      <c r="G2228" s="80" t="b">
        <v>0</v>
      </c>
    </row>
    <row r="2229" spans="1:7" ht="15">
      <c r="A2229" s="81" t="s">
        <v>2653</v>
      </c>
      <c r="B2229" s="80">
        <v>2</v>
      </c>
      <c r="C2229" s="104">
        <v>0.0016658516417219283</v>
      </c>
      <c r="D2229" s="80" t="s">
        <v>2187</v>
      </c>
      <c r="E2229" s="80" t="b">
        <v>0</v>
      </c>
      <c r="F2229" s="80" t="b">
        <v>0</v>
      </c>
      <c r="G2229" s="80" t="b">
        <v>0</v>
      </c>
    </row>
    <row r="2230" spans="1:7" ht="15">
      <c r="A2230" s="81" t="s">
        <v>2297</v>
      </c>
      <c r="B2230" s="80">
        <v>2</v>
      </c>
      <c r="C2230" s="104">
        <v>0.0012394635458805952</v>
      </c>
      <c r="D2230" s="80" t="s">
        <v>2187</v>
      </c>
      <c r="E2230" s="80" t="b">
        <v>0</v>
      </c>
      <c r="F2230" s="80" t="b">
        <v>0</v>
      </c>
      <c r="G2230" s="80" t="b">
        <v>0</v>
      </c>
    </row>
    <row r="2231" spans="1:7" ht="15">
      <c r="A2231" s="81" t="s">
        <v>3293</v>
      </c>
      <c r="B2231" s="80">
        <v>2</v>
      </c>
      <c r="C2231" s="104">
        <v>0.0012394635458805952</v>
      </c>
      <c r="D2231" s="80" t="s">
        <v>2187</v>
      </c>
      <c r="E2231" s="80" t="b">
        <v>0</v>
      </c>
      <c r="F2231" s="80" t="b">
        <v>0</v>
      </c>
      <c r="G2231" s="80" t="b">
        <v>0</v>
      </c>
    </row>
    <row r="2232" spans="1:7" ht="15">
      <c r="A2232" s="81" t="s">
        <v>3180</v>
      </c>
      <c r="B2232" s="80">
        <v>2</v>
      </c>
      <c r="C2232" s="104">
        <v>0.0016658516417219283</v>
      </c>
      <c r="D2232" s="80" t="s">
        <v>2187</v>
      </c>
      <c r="E2232" s="80" t="b">
        <v>0</v>
      </c>
      <c r="F2232" s="80" t="b">
        <v>0</v>
      </c>
      <c r="G2232" s="80" t="b">
        <v>0</v>
      </c>
    </row>
    <row r="2233" spans="1:7" ht="15">
      <c r="A2233" s="81" t="s">
        <v>2294</v>
      </c>
      <c r="B2233" s="80">
        <v>2</v>
      </c>
      <c r="C2233" s="104">
        <v>0.0012394635458805952</v>
      </c>
      <c r="D2233" s="80" t="s">
        <v>2187</v>
      </c>
      <c r="E2233" s="80" t="b">
        <v>0</v>
      </c>
      <c r="F2233" s="80" t="b">
        <v>0</v>
      </c>
      <c r="G2233" s="80" t="b">
        <v>0</v>
      </c>
    </row>
    <row r="2234" spans="1:7" ht="15">
      <c r="A2234" s="81" t="s">
        <v>3043</v>
      </c>
      <c r="B2234" s="80">
        <v>2</v>
      </c>
      <c r="C2234" s="104">
        <v>0.0016658516417219283</v>
      </c>
      <c r="D2234" s="80" t="s">
        <v>2187</v>
      </c>
      <c r="E2234" s="80" t="b">
        <v>0</v>
      </c>
      <c r="F2234" s="80" t="b">
        <v>0</v>
      </c>
      <c r="G2234" s="80" t="b">
        <v>0</v>
      </c>
    </row>
    <row r="2235" spans="1:7" ht="15">
      <c r="A2235" s="81" t="s">
        <v>2280</v>
      </c>
      <c r="B2235" s="80">
        <v>2</v>
      </c>
      <c r="C2235" s="104">
        <v>0.0012394635458805952</v>
      </c>
      <c r="D2235" s="80" t="s">
        <v>2187</v>
      </c>
      <c r="E2235" s="80" t="b">
        <v>0</v>
      </c>
      <c r="F2235" s="80" t="b">
        <v>0</v>
      </c>
      <c r="G2235" s="80" t="b">
        <v>0</v>
      </c>
    </row>
    <row r="2236" spans="1:7" ht="15">
      <c r="A2236" s="81" t="s">
        <v>2249</v>
      </c>
      <c r="B2236" s="80">
        <v>2</v>
      </c>
      <c r="C2236" s="104">
        <v>0.0016658516417219283</v>
      </c>
      <c r="D2236" s="80" t="s">
        <v>2187</v>
      </c>
      <c r="E2236" s="80" t="b">
        <v>0</v>
      </c>
      <c r="F2236" s="80" t="b">
        <v>0</v>
      </c>
      <c r="G2236" s="80" t="b">
        <v>0</v>
      </c>
    </row>
    <row r="2237" spans="1:7" ht="15">
      <c r="A2237" s="81" t="s">
        <v>2302</v>
      </c>
      <c r="B2237" s="80">
        <v>2</v>
      </c>
      <c r="C2237" s="104">
        <v>0.0012394635458805952</v>
      </c>
      <c r="D2237" s="80" t="s">
        <v>2187</v>
      </c>
      <c r="E2237" s="80" t="b">
        <v>0</v>
      </c>
      <c r="F2237" s="80" t="b">
        <v>0</v>
      </c>
      <c r="G2237" s="80" t="b">
        <v>0</v>
      </c>
    </row>
    <row r="2238" spans="1:7" ht="15">
      <c r="A2238" s="81" t="s">
        <v>2315</v>
      </c>
      <c r="B2238" s="80">
        <v>2</v>
      </c>
      <c r="C2238" s="104">
        <v>0.0012394635458805952</v>
      </c>
      <c r="D2238" s="80" t="s">
        <v>2187</v>
      </c>
      <c r="E2238" s="80" t="b">
        <v>0</v>
      </c>
      <c r="F2238" s="80" t="b">
        <v>0</v>
      </c>
      <c r="G2238" s="80" t="b">
        <v>0</v>
      </c>
    </row>
    <row r="2239" spans="1:7" ht="15">
      <c r="A2239" s="81" t="s">
        <v>2369</v>
      </c>
      <c r="B2239" s="80">
        <v>2</v>
      </c>
      <c r="C2239" s="104">
        <v>0.0012394635458805952</v>
      </c>
      <c r="D2239" s="80" t="s">
        <v>2187</v>
      </c>
      <c r="E2239" s="80" t="b">
        <v>0</v>
      </c>
      <c r="F2239" s="80" t="b">
        <v>0</v>
      </c>
      <c r="G2239" s="80" t="b">
        <v>0</v>
      </c>
    </row>
    <row r="2240" spans="1:7" ht="15">
      <c r="A2240" s="81" t="s">
        <v>3048</v>
      </c>
      <c r="B2240" s="80">
        <v>2</v>
      </c>
      <c r="C2240" s="104">
        <v>0.0016658516417219283</v>
      </c>
      <c r="D2240" s="80" t="s">
        <v>2187</v>
      </c>
      <c r="E2240" s="80" t="b">
        <v>0</v>
      </c>
      <c r="F2240" s="80" t="b">
        <v>0</v>
      </c>
      <c r="G2240" s="80" t="b">
        <v>0</v>
      </c>
    </row>
    <row r="2241" spans="1:7" ht="15">
      <c r="A2241" s="81" t="s">
        <v>3311</v>
      </c>
      <c r="B2241" s="80">
        <v>2</v>
      </c>
      <c r="C2241" s="104">
        <v>0.0016658516417219283</v>
      </c>
      <c r="D2241" s="80" t="s">
        <v>2187</v>
      </c>
      <c r="E2241" s="80" t="b">
        <v>0</v>
      </c>
      <c r="F2241" s="80" t="b">
        <v>0</v>
      </c>
      <c r="G2241" s="80" t="b">
        <v>0</v>
      </c>
    </row>
    <row r="2242" spans="1:7" ht="15">
      <c r="A2242" s="81" t="s">
        <v>2831</v>
      </c>
      <c r="B2242" s="80">
        <v>2</v>
      </c>
      <c r="C2242" s="104">
        <v>0.0016658516417219283</v>
      </c>
      <c r="D2242" s="80" t="s">
        <v>2187</v>
      </c>
      <c r="E2242" s="80" t="b">
        <v>0</v>
      </c>
      <c r="F2242" s="80" t="b">
        <v>0</v>
      </c>
      <c r="G2242" s="80" t="b">
        <v>0</v>
      </c>
    </row>
    <row r="2243" spans="1:7" ht="15">
      <c r="A2243" s="81" t="s">
        <v>3264</v>
      </c>
      <c r="B2243" s="80">
        <v>2</v>
      </c>
      <c r="C2243" s="104">
        <v>0.0016658516417219283</v>
      </c>
      <c r="D2243" s="80" t="s">
        <v>2187</v>
      </c>
      <c r="E2243" s="80" t="b">
        <v>0</v>
      </c>
      <c r="F2243" s="80" t="b">
        <v>0</v>
      </c>
      <c r="G2243" s="80" t="b">
        <v>0</v>
      </c>
    </row>
    <row r="2244" spans="1:7" ht="15">
      <c r="A2244" s="81" t="s">
        <v>2213</v>
      </c>
      <c r="B2244" s="80">
        <v>18</v>
      </c>
      <c r="C2244" s="104">
        <v>0</v>
      </c>
      <c r="D2244" s="80" t="s">
        <v>2188</v>
      </c>
      <c r="E2244" s="80" t="b">
        <v>0</v>
      </c>
      <c r="F2244" s="80" t="b">
        <v>0</v>
      </c>
      <c r="G2244" s="80" t="b">
        <v>0</v>
      </c>
    </row>
    <row r="2245" spans="1:7" ht="15">
      <c r="A2245" s="81" t="s">
        <v>2214</v>
      </c>
      <c r="B2245" s="80">
        <v>17</v>
      </c>
      <c r="C2245" s="104">
        <v>0</v>
      </c>
      <c r="D2245" s="80" t="s">
        <v>2188</v>
      </c>
      <c r="E2245" s="80" t="b">
        <v>0</v>
      </c>
      <c r="F2245" s="80" t="b">
        <v>0</v>
      </c>
      <c r="G2245" s="80" t="b">
        <v>0</v>
      </c>
    </row>
    <row r="2246" spans="1:7" ht="15">
      <c r="A2246" s="81" t="s">
        <v>2259</v>
      </c>
      <c r="B2246" s="80">
        <v>17</v>
      </c>
      <c r="C2246" s="104">
        <v>0.008359286394467688</v>
      </c>
      <c r="D2246" s="80" t="s">
        <v>2188</v>
      </c>
      <c r="E2246" s="80" t="b">
        <v>0</v>
      </c>
      <c r="F2246" s="80" t="b">
        <v>0</v>
      </c>
      <c r="G2246" s="80" t="b">
        <v>0</v>
      </c>
    </row>
    <row r="2247" spans="1:7" ht="15">
      <c r="A2247" s="81" t="s">
        <v>2215</v>
      </c>
      <c r="B2247" s="80">
        <v>12</v>
      </c>
      <c r="C2247" s="104">
        <v>0.004783554443467642</v>
      </c>
      <c r="D2247" s="80" t="s">
        <v>2188</v>
      </c>
      <c r="E2247" s="80" t="b">
        <v>0</v>
      </c>
      <c r="F2247" s="80" t="b">
        <v>0</v>
      </c>
      <c r="G2247" s="80" t="b">
        <v>0</v>
      </c>
    </row>
    <row r="2248" spans="1:7" ht="15">
      <c r="A2248" s="81" t="s">
        <v>2326</v>
      </c>
      <c r="B2248" s="80">
        <v>11</v>
      </c>
      <c r="C2248" s="104">
        <v>0.00540895001994968</v>
      </c>
      <c r="D2248" s="80" t="s">
        <v>2188</v>
      </c>
      <c r="E2248" s="80" t="b">
        <v>0</v>
      </c>
      <c r="F2248" s="80" t="b">
        <v>0</v>
      </c>
      <c r="G2248" s="80" t="b">
        <v>0</v>
      </c>
    </row>
    <row r="2249" spans="1:7" ht="15">
      <c r="A2249" s="81" t="s">
        <v>2340</v>
      </c>
      <c r="B2249" s="80">
        <v>10</v>
      </c>
      <c r="C2249" s="104">
        <v>0.006117407277494471</v>
      </c>
      <c r="D2249" s="80" t="s">
        <v>2188</v>
      </c>
      <c r="E2249" s="80" t="b">
        <v>0</v>
      </c>
      <c r="F2249" s="80" t="b">
        <v>0</v>
      </c>
      <c r="G2249" s="80" t="b">
        <v>0</v>
      </c>
    </row>
    <row r="2250" spans="1:7" ht="15">
      <c r="A2250" s="81" t="s">
        <v>2348</v>
      </c>
      <c r="B2250" s="80">
        <v>10</v>
      </c>
      <c r="C2250" s="104">
        <v>0.007808965961987086</v>
      </c>
      <c r="D2250" s="80" t="s">
        <v>2188</v>
      </c>
      <c r="E2250" s="80" t="b">
        <v>0</v>
      </c>
      <c r="F2250" s="80" t="b">
        <v>0</v>
      </c>
      <c r="G2250" s="80" t="b">
        <v>0</v>
      </c>
    </row>
    <row r="2251" spans="1:7" ht="15">
      <c r="A2251" s="81" t="s">
        <v>2216</v>
      </c>
      <c r="B2251" s="80">
        <v>10</v>
      </c>
      <c r="C2251" s="104">
        <v>0.003225668606370731</v>
      </c>
      <c r="D2251" s="80" t="s">
        <v>2188</v>
      </c>
      <c r="E2251" s="80" t="b">
        <v>0</v>
      </c>
      <c r="F2251" s="80" t="b">
        <v>0</v>
      </c>
      <c r="G2251" s="80" t="b">
        <v>0</v>
      </c>
    </row>
    <row r="2252" spans="1:7" ht="15">
      <c r="A2252" s="81" t="s">
        <v>2222</v>
      </c>
      <c r="B2252" s="80">
        <v>9</v>
      </c>
      <c r="C2252" s="104">
        <v>0.0013806989296903046</v>
      </c>
      <c r="D2252" s="80" t="s">
        <v>2188</v>
      </c>
      <c r="E2252" s="80" t="b">
        <v>0</v>
      </c>
      <c r="F2252" s="80" t="b">
        <v>0</v>
      </c>
      <c r="G2252" s="80" t="b">
        <v>0</v>
      </c>
    </row>
    <row r="2253" spans="1:7" ht="15">
      <c r="A2253" s="81" t="s">
        <v>2218</v>
      </c>
      <c r="B2253" s="80">
        <v>8</v>
      </c>
      <c r="C2253" s="104">
        <v>0.003933781832690677</v>
      </c>
      <c r="D2253" s="80" t="s">
        <v>2188</v>
      </c>
      <c r="E2253" s="80" t="b">
        <v>0</v>
      </c>
      <c r="F2253" s="80" t="b">
        <v>0</v>
      </c>
      <c r="G2253" s="80" t="b">
        <v>0</v>
      </c>
    </row>
    <row r="2254" spans="1:7" ht="15">
      <c r="A2254" s="81" t="s">
        <v>2224</v>
      </c>
      <c r="B2254" s="80">
        <v>8</v>
      </c>
      <c r="C2254" s="104">
        <v>0.0016203908957916863</v>
      </c>
      <c r="D2254" s="80" t="s">
        <v>2188</v>
      </c>
      <c r="E2254" s="80" t="b">
        <v>0</v>
      </c>
      <c r="F2254" s="80" t="b">
        <v>0</v>
      </c>
      <c r="G2254" s="80" t="b">
        <v>0</v>
      </c>
    </row>
    <row r="2255" spans="1:7" ht="15">
      <c r="A2255" s="81" t="s">
        <v>2419</v>
      </c>
      <c r="B2255" s="80">
        <v>7</v>
      </c>
      <c r="C2255" s="104">
        <v>0.004282185094246129</v>
      </c>
      <c r="D2255" s="80" t="s">
        <v>2188</v>
      </c>
      <c r="E2255" s="80" t="b">
        <v>0</v>
      </c>
      <c r="F2255" s="80" t="b">
        <v>0</v>
      </c>
      <c r="G2255" s="80" t="b">
        <v>0</v>
      </c>
    </row>
    <row r="2256" spans="1:7" ht="15">
      <c r="A2256" s="81" t="s">
        <v>2225</v>
      </c>
      <c r="B2256" s="80">
        <v>7</v>
      </c>
      <c r="C2256" s="104">
        <v>0.0018077974889990967</v>
      </c>
      <c r="D2256" s="80" t="s">
        <v>2188</v>
      </c>
      <c r="E2256" s="80" t="b">
        <v>0</v>
      </c>
      <c r="F2256" s="80" t="b">
        <v>0</v>
      </c>
      <c r="G2256" s="80" t="b">
        <v>0</v>
      </c>
    </row>
    <row r="2257" spans="1:7" ht="15">
      <c r="A2257" s="81" t="s">
        <v>2422</v>
      </c>
      <c r="B2257" s="80">
        <v>7</v>
      </c>
      <c r="C2257" s="104">
        <v>0.007490493243177576</v>
      </c>
      <c r="D2257" s="80" t="s">
        <v>2188</v>
      </c>
      <c r="E2257" s="80" t="b">
        <v>0</v>
      </c>
      <c r="F2257" s="80" t="b">
        <v>0</v>
      </c>
      <c r="G2257" s="80" t="b">
        <v>0</v>
      </c>
    </row>
    <row r="2258" spans="1:7" ht="15">
      <c r="A2258" s="81" t="s">
        <v>2232</v>
      </c>
      <c r="B2258" s="80">
        <v>7</v>
      </c>
      <c r="C2258" s="104">
        <v>0.003442059103604342</v>
      </c>
      <c r="D2258" s="80" t="s">
        <v>2188</v>
      </c>
      <c r="E2258" s="80" t="b">
        <v>0</v>
      </c>
      <c r="F2258" s="80" t="b">
        <v>0</v>
      </c>
      <c r="G2258" s="80" t="b">
        <v>0</v>
      </c>
    </row>
    <row r="2259" spans="1:7" ht="15">
      <c r="A2259" s="81" t="s">
        <v>2463</v>
      </c>
      <c r="B2259" s="80">
        <v>6</v>
      </c>
      <c r="C2259" s="104">
        <v>0.0036704443664966817</v>
      </c>
      <c r="D2259" s="80" t="s">
        <v>2188</v>
      </c>
      <c r="E2259" s="80" t="b">
        <v>0</v>
      </c>
      <c r="F2259" s="80" t="b">
        <v>0</v>
      </c>
      <c r="G2259" s="80" t="b">
        <v>0</v>
      </c>
    </row>
    <row r="2260" spans="1:7" ht="15">
      <c r="A2260" s="81" t="s">
        <v>2448</v>
      </c>
      <c r="B2260" s="80">
        <v>6</v>
      </c>
      <c r="C2260" s="104">
        <v>0.0046853795771922505</v>
      </c>
      <c r="D2260" s="80" t="s">
        <v>2188</v>
      </c>
      <c r="E2260" s="80" t="b">
        <v>1</v>
      </c>
      <c r="F2260" s="80" t="b">
        <v>0</v>
      </c>
      <c r="G2260" s="80" t="b">
        <v>0</v>
      </c>
    </row>
    <row r="2261" spans="1:7" ht="15">
      <c r="A2261" s="81" t="s">
        <v>2479</v>
      </c>
      <c r="B2261" s="80">
        <v>6</v>
      </c>
      <c r="C2261" s="104">
        <v>0.0046853795771922505</v>
      </c>
      <c r="D2261" s="80" t="s">
        <v>2188</v>
      </c>
      <c r="E2261" s="80" t="b">
        <v>0</v>
      </c>
      <c r="F2261" s="80" t="b">
        <v>0</v>
      </c>
      <c r="G2261" s="80" t="b">
        <v>0</v>
      </c>
    </row>
    <row r="2262" spans="1:7" ht="15">
      <c r="A2262" s="81" t="s">
        <v>2217</v>
      </c>
      <c r="B2262" s="80">
        <v>5</v>
      </c>
      <c r="C2262" s="104">
        <v>0.002458613645431673</v>
      </c>
      <c r="D2262" s="80" t="s">
        <v>2188</v>
      </c>
      <c r="E2262" s="80" t="b">
        <v>0</v>
      </c>
      <c r="F2262" s="80" t="b">
        <v>0</v>
      </c>
      <c r="G2262" s="80" t="b">
        <v>0</v>
      </c>
    </row>
    <row r="2263" spans="1:7" ht="15">
      <c r="A2263" s="81" t="s">
        <v>2287</v>
      </c>
      <c r="B2263" s="80">
        <v>5</v>
      </c>
      <c r="C2263" s="104">
        <v>0.0030587036387472355</v>
      </c>
      <c r="D2263" s="80" t="s">
        <v>2188</v>
      </c>
      <c r="E2263" s="80" t="b">
        <v>0</v>
      </c>
      <c r="F2263" s="80" t="b">
        <v>0</v>
      </c>
      <c r="G2263" s="80" t="b">
        <v>0</v>
      </c>
    </row>
    <row r="2264" spans="1:7" ht="15">
      <c r="A2264" s="81" t="s">
        <v>2221</v>
      </c>
      <c r="B2264" s="80">
        <v>5</v>
      </c>
      <c r="C2264" s="104">
        <v>0.0019931476847781845</v>
      </c>
      <c r="D2264" s="80" t="s">
        <v>2188</v>
      </c>
      <c r="E2264" s="80" t="b">
        <v>0</v>
      </c>
      <c r="F2264" s="80" t="b">
        <v>0</v>
      </c>
      <c r="G2264" s="80" t="b">
        <v>0</v>
      </c>
    </row>
    <row r="2265" spans="1:7" ht="15">
      <c r="A2265" s="81" t="s">
        <v>2504</v>
      </c>
      <c r="B2265" s="80">
        <v>5</v>
      </c>
      <c r="C2265" s="104">
        <v>0.0030587036387472355</v>
      </c>
      <c r="D2265" s="80" t="s">
        <v>2188</v>
      </c>
      <c r="E2265" s="80" t="b">
        <v>0</v>
      </c>
      <c r="F2265" s="80" t="b">
        <v>1</v>
      </c>
      <c r="G2265" s="80" t="b">
        <v>0</v>
      </c>
    </row>
    <row r="2266" spans="1:7" ht="15">
      <c r="A2266" s="81" t="s">
        <v>2512</v>
      </c>
      <c r="B2266" s="80">
        <v>5</v>
      </c>
      <c r="C2266" s="104">
        <v>0.003904482980993543</v>
      </c>
      <c r="D2266" s="80" t="s">
        <v>2188</v>
      </c>
      <c r="E2266" s="80" t="b">
        <v>0</v>
      </c>
      <c r="F2266" s="80" t="b">
        <v>0</v>
      </c>
      <c r="G2266" s="80" t="b">
        <v>0</v>
      </c>
    </row>
    <row r="2267" spans="1:7" ht="15">
      <c r="A2267" s="81" t="s">
        <v>2236</v>
      </c>
      <c r="B2267" s="80">
        <v>5</v>
      </c>
      <c r="C2267" s="104">
        <v>0.0030587036387472355</v>
      </c>
      <c r="D2267" s="80" t="s">
        <v>2188</v>
      </c>
      <c r="E2267" s="80" t="b">
        <v>0</v>
      </c>
      <c r="F2267" s="80" t="b">
        <v>0</v>
      </c>
      <c r="G2267" s="80" t="b">
        <v>0</v>
      </c>
    </row>
    <row r="2268" spans="1:7" ht="15">
      <c r="A2268" s="81" t="s">
        <v>2329</v>
      </c>
      <c r="B2268" s="80">
        <v>5</v>
      </c>
      <c r="C2268" s="104">
        <v>0.0030587036387472355</v>
      </c>
      <c r="D2268" s="80" t="s">
        <v>2188</v>
      </c>
      <c r="E2268" s="80" t="b">
        <v>0</v>
      </c>
      <c r="F2268" s="80" t="b">
        <v>0</v>
      </c>
      <c r="G2268" s="80" t="b">
        <v>0</v>
      </c>
    </row>
    <row r="2269" spans="1:7" ht="15">
      <c r="A2269" s="81" t="s">
        <v>2354</v>
      </c>
      <c r="B2269" s="80">
        <v>4</v>
      </c>
      <c r="C2269" s="104">
        <v>0.004280281853244329</v>
      </c>
      <c r="D2269" s="80" t="s">
        <v>2188</v>
      </c>
      <c r="E2269" s="80" t="b">
        <v>0</v>
      </c>
      <c r="F2269" s="80" t="b">
        <v>0</v>
      </c>
      <c r="G2269" s="80" t="b">
        <v>0</v>
      </c>
    </row>
    <row r="2270" spans="1:7" ht="15">
      <c r="A2270" s="81" t="s">
        <v>2602</v>
      </c>
      <c r="B2270" s="80">
        <v>4</v>
      </c>
      <c r="C2270" s="104">
        <v>0.003123586384794834</v>
      </c>
      <c r="D2270" s="80" t="s">
        <v>2188</v>
      </c>
      <c r="E2270" s="80" t="b">
        <v>0</v>
      </c>
      <c r="F2270" s="80" t="b">
        <v>0</v>
      </c>
      <c r="G2270" s="80" t="b">
        <v>0</v>
      </c>
    </row>
    <row r="2271" spans="1:7" ht="15">
      <c r="A2271" s="81" t="s">
        <v>2511</v>
      </c>
      <c r="B2271" s="80">
        <v>4</v>
      </c>
      <c r="C2271" s="104">
        <v>0.002446962910997788</v>
      </c>
      <c r="D2271" s="80" t="s">
        <v>2188</v>
      </c>
      <c r="E2271" s="80" t="b">
        <v>0</v>
      </c>
      <c r="F2271" s="80" t="b">
        <v>0</v>
      </c>
      <c r="G2271" s="80" t="b">
        <v>0</v>
      </c>
    </row>
    <row r="2272" spans="1:7" ht="15">
      <c r="A2272" s="81" t="s">
        <v>2623</v>
      </c>
      <c r="B2272" s="80">
        <v>4</v>
      </c>
      <c r="C2272" s="104">
        <v>0.003123586384794834</v>
      </c>
      <c r="D2272" s="80" t="s">
        <v>2188</v>
      </c>
      <c r="E2272" s="80" t="b">
        <v>0</v>
      </c>
      <c r="F2272" s="80" t="b">
        <v>0</v>
      </c>
      <c r="G2272" s="80" t="b">
        <v>0</v>
      </c>
    </row>
    <row r="2273" spans="1:7" ht="15">
      <c r="A2273" s="81" t="s">
        <v>2226</v>
      </c>
      <c r="B2273" s="80">
        <v>4</v>
      </c>
      <c r="C2273" s="104">
        <v>0.0019668909163453384</v>
      </c>
      <c r="D2273" s="80" t="s">
        <v>2188</v>
      </c>
      <c r="E2273" s="80" t="b">
        <v>0</v>
      </c>
      <c r="F2273" s="80" t="b">
        <v>0</v>
      </c>
      <c r="G2273" s="80" t="b">
        <v>0</v>
      </c>
    </row>
    <row r="2274" spans="1:7" ht="15">
      <c r="A2274" s="81" t="s">
        <v>2250</v>
      </c>
      <c r="B2274" s="80">
        <v>4</v>
      </c>
      <c r="C2274" s="104">
        <v>0.0019668909163453384</v>
      </c>
      <c r="D2274" s="80" t="s">
        <v>2188</v>
      </c>
      <c r="E2274" s="80" t="b">
        <v>0</v>
      </c>
      <c r="F2274" s="80" t="b">
        <v>0</v>
      </c>
      <c r="G2274" s="80" t="b">
        <v>0</v>
      </c>
    </row>
    <row r="2275" spans="1:7" ht="15">
      <c r="A2275" s="81" t="s">
        <v>2239</v>
      </c>
      <c r="B2275" s="80">
        <v>4</v>
      </c>
      <c r="C2275" s="104">
        <v>0.003123586384794834</v>
      </c>
      <c r="D2275" s="80" t="s">
        <v>2188</v>
      </c>
      <c r="E2275" s="80" t="b">
        <v>0</v>
      </c>
      <c r="F2275" s="80" t="b">
        <v>0</v>
      </c>
      <c r="G2275" s="80" t="b">
        <v>0</v>
      </c>
    </row>
    <row r="2276" spans="1:7" ht="15">
      <c r="A2276" s="81" t="s">
        <v>2219</v>
      </c>
      <c r="B2276" s="80">
        <v>4</v>
      </c>
      <c r="C2276" s="104">
        <v>0.002446962910997788</v>
      </c>
      <c r="D2276" s="80" t="s">
        <v>2188</v>
      </c>
      <c r="E2276" s="80" t="b">
        <v>0</v>
      </c>
      <c r="F2276" s="80" t="b">
        <v>0</v>
      </c>
      <c r="G2276" s="80" t="b">
        <v>0</v>
      </c>
    </row>
    <row r="2277" spans="1:7" ht="15">
      <c r="A2277" s="81" t="s">
        <v>2634</v>
      </c>
      <c r="B2277" s="80">
        <v>4</v>
      </c>
      <c r="C2277" s="104">
        <v>0.002446962910997788</v>
      </c>
      <c r="D2277" s="80" t="s">
        <v>2188</v>
      </c>
      <c r="E2277" s="80" t="b">
        <v>0</v>
      </c>
      <c r="F2277" s="80" t="b">
        <v>0</v>
      </c>
      <c r="G2277" s="80" t="b">
        <v>0</v>
      </c>
    </row>
    <row r="2278" spans="1:7" ht="15">
      <c r="A2278" s="81" t="s">
        <v>2591</v>
      </c>
      <c r="B2278" s="80">
        <v>4</v>
      </c>
      <c r="C2278" s="104">
        <v>0.003123586384794834</v>
      </c>
      <c r="D2278" s="80" t="s">
        <v>2188</v>
      </c>
      <c r="E2278" s="80" t="b">
        <v>0</v>
      </c>
      <c r="F2278" s="80" t="b">
        <v>0</v>
      </c>
      <c r="G2278" s="80" t="b">
        <v>0</v>
      </c>
    </row>
    <row r="2279" spans="1:7" ht="15">
      <c r="A2279" s="81" t="s">
        <v>2421</v>
      </c>
      <c r="B2279" s="80">
        <v>4</v>
      </c>
      <c r="C2279" s="104">
        <v>0.004280281853244329</v>
      </c>
      <c r="D2279" s="80" t="s">
        <v>2188</v>
      </c>
      <c r="E2279" s="80" t="b">
        <v>0</v>
      </c>
      <c r="F2279" s="80" t="b">
        <v>0</v>
      </c>
      <c r="G2279" s="80" t="b">
        <v>0</v>
      </c>
    </row>
    <row r="2280" spans="1:7" ht="15">
      <c r="A2280" s="81" t="s">
        <v>2240</v>
      </c>
      <c r="B2280" s="80">
        <v>4</v>
      </c>
      <c r="C2280" s="104">
        <v>0.0019668909163453384</v>
      </c>
      <c r="D2280" s="80" t="s">
        <v>2188</v>
      </c>
      <c r="E2280" s="80" t="b">
        <v>0</v>
      </c>
      <c r="F2280" s="80" t="b">
        <v>0</v>
      </c>
      <c r="G2280" s="80" t="b">
        <v>0</v>
      </c>
    </row>
    <row r="2281" spans="1:7" ht="15">
      <c r="A2281" s="81" t="s">
        <v>2466</v>
      </c>
      <c r="B2281" s="80">
        <v>4</v>
      </c>
      <c r="C2281" s="104">
        <v>0.004280281853244329</v>
      </c>
      <c r="D2281" s="80" t="s">
        <v>2188</v>
      </c>
      <c r="E2281" s="80" t="b">
        <v>0</v>
      </c>
      <c r="F2281" s="80" t="b">
        <v>0</v>
      </c>
      <c r="G2281" s="80" t="b">
        <v>0</v>
      </c>
    </row>
    <row r="2282" spans="1:7" ht="15">
      <c r="A2282" s="81" t="s">
        <v>2252</v>
      </c>
      <c r="B2282" s="80">
        <v>4</v>
      </c>
      <c r="C2282" s="104">
        <v>0.004280281853244329</v>
      </c>
      <c r="D2282" s="80" t="s">
        <v>2188</v>
      </c>
      <c r="E2282" s="80" t="b">
        <v>0</v>
      </c>
      <c r="F2282" s="80" t="b">
        <v>0</v>
      </c>
      <c r="G2282" s="80" t="b">
        <v>0</v>
      </c>
    </row>
    <row r="2283" spans="1:7" ht="15">
      <c r="A2283" s="81" t="s">
        <v>2505</v>
      </c>
      <c r="B2283" s="80">
        <v>4</v>
      </c>
      <c r="C2283" s="104">
        <v>0.003123586384794834</v>
      </c>
      <c r="D2283" s="80" t="s">
        <v>2188</v>
      </c>
      <c r="E2283" s="80" t="b">
        <v>0</v>
      </c>
      <c r="F2283" s="80" t="b">
        <v>0</v>
      </c>
      <c r="G2283" s="80" t="b">
        <v>0</v>
      </c>
    </row>
    <row r="2284" spans="1:7" ht="15">
      <c r="A2284" s="81" t="s">
        <v>2609</v>
      </c>
      <c r="B2284" s="80">
        <v>4</v>
      </c>
      <c r="C2284" s="104">
        <v>0.003123586384794834</v>
      </c>
      <c r="D2284" s="80" t="s">
        <v>2188</v>
      </c>
      <c r="E2284" s="80" t="b">
        <v>0</v>
      </c>
      <c r="F2284" s="80" t="b">
        <v>0</v>
      </c>
      <c r="G2284" s="80" t="b">
        <v>0</v>
      </c>
    </row>
    <row r="2285" spans="1:7" ht="15">
      <c r="A2285" s="81" t="s">
        <v>2628</v>
      </c>
      <c r="B2285" s="80">
        <v>4</v>
      </c>
      <c r="C2285" s="104">
        <v>0.003123586384794834</v>
      </c>
      <c r="D2285" s="80" t="s">
        <v>2188</v>
      </c>
      <c r="E2285" s="80" t="b">
        <v>0</v>
      </c>
      <c r="F2285" s="80" t="b">
        <v>0</v>
      </c>
      <c r="G2285" s="80" t="b">
        <v>0</v>
      </c>
    </row>
    <row r="2286" spans="1:7" ht="15">
      <c r="A2286" s="81" t="s">
        <v>2234</v>
      </c>
      <c r="B2286" s="80">
        <v>4</v>
      </c>
      <c r="C2286" s="104">
        <v>0.0019668909163453384</v>
      </c>
      <c r="D2286" s="80" t="s">
        <v>2188</v>
      </c>
      <c r="E2286" s="80" t="b">
        <v>0</v>
      </c>
      <c r="F2286" s="80" t="b">
        <v>0</v>
      </c>
      <c r="G2286" s="80" t="b">
        <v>0</v>
      </c>
    </row>
    <row r="2287" spans="1:7" ht="15">
      <c r="A2287" s="81" t="s">
        <v>2247</v>
      </c>
      <c r="B2287" s="80">
        <v>4</v>
      </c>
      <c r="C2287" s="104">
        <v>0.002446962910997788</v>
      </c>
      <c r="D2287" s="80" t="s">
        <v>2188</v>
      </c>
      <c r="E2287" s="80" t="b">
        <v>0</v>
      </c>
      <c r="F2287" s="80" t="b">
        <v>0</v>
      </c>
      <c r="G2287" s="80" t="b">
        <v>0</v>
      </c>
    </row>
    <row r="2288" spans="1:7" ht="15">
      <c r="A2288" s="81" t="s">
        <v>2233</v>
      </c>
      <c r="B2288" s="80">
        <v>4</v>
      </c>
      <c r="C2288" s="104">
        <v>0.0019668909163453384</v>
      </c>
      <c r="D2288" s="80" t="s">
        <v>2188</v>
      </c>
      <c r="E2288" s="80" t="b">
        <v>0</v>
      </c>
      <c r="F2288" s="80" t="b">
        <v>0</v>
      </c>
      <c r="G2288" s="80" t="b">
        <v>0</v>
      </c>
    </row>
    <row r="2289" spans="1:7" ht="15">
      <c r="A2289" s="81" t="s">
        <v>2446</v>
      </c>
      <c r="B2289" s="80">
        <v>4</v>
      </c>
      <c r="C2289" s="104">
        <v>0.004280281853244329</v>
      </c>
      <c r="D2289" s="80" t="s">
        <v>2188</v>
      </c>
      <c r="E2289" s="80" t="b">
        <v>0</v>
      </c>
      <c r="F2289" s="80" t="b">
        <v>0</v>
      </c>
      <c r="G2289" s="80" t="b">
        <v>0</v>
      </c>
    </row>
    <row r="2290" spans="1:7" ht="15">
      <c r="A2290" s="81" t="s">
        <v>2639</v>
      </c>
      <c r="B2290" s="80">
        <v>4</v>
      </c>
      <c r="C2290" s="104">
        <v>0.003123586384794834</v>
      </c>
      <c r="D2290" s="80" t="s">
        <v>2188</v>
      </c>
      <c r="E2290" s="80" t="b">
        <v>0</v>
      </c>
      <c r="F2290" s="80" t="b">
        <v>0</v>
      </c>
      <c r="G2290" s="80" t="b">
        <v>0</v>
      </c>
    </row>
    <row r="2291" spans="1:7" ht="15">
      <c r="A2291" s="81" t="s">
        <v>2328</v>
      </c>
      <c r="B2291" s="80">
        <v>3</v>
      </c>
      <c r="C2291" s="104">
        <v>0.0023426897885961253</v>
      </c>
      <c r="D2291" s="80" t="s">
        <v>2188</v>
      </c>
      <c r="E2291" s="80" t="b">
        <v>0</v>
      </c>
      <c r="F2291" s="80" t="b">
        <v>0</v>
      </c>
      <c r="G2291" s="80" t="b">
        <v>0</v>
      </c>
    </row>
    <row r="2292" spans="1:7" ht="15">
      <c r="A2292" s="81" t="s">
        <v>2519</v>
      </c>
      <c r="B2292" s="80">
        <v>3</v>
      </c>
      <c r="C2292" s="104">
        <v>0.0018352221832483408</v>
      </c>
      <c r="D2292" s="80" t="s">
        <v>2188</v>
      </c>
      <c r="E2292" s="80" t="b">
        <v>0</v>
      </c>
      <c r="F2292" s="80" t="b">
        <v>0</v>
      </c>
      <c r="G2292" s="80" t="b">
        <v>0</v>
      </c>
    </row>
    <row r="2293" spans="1:7" ht="15">
      <c r="A2293" s="81" t="s">
        <v>2705</v>
      </c>
      <c r="B2293" s="80">
        <v>3</v>
      </c>
      <c r="C2293" s="104">
        <v>0.0018352221832483408</v>
      </c>
      <c r="D2293" s="80" t="s">
        <v>2188</v>
      </c>
      <c r="E2293" s="80" t="b">
        <v>0</v>
      </c>
      <c r="F2293" s="80" t="b">
        <v>0</v>
      </c>
      <c r="G2293" s="80" t="b">
        <v>0</v>
      </c>
    </row>
    <row r="2294" spans="1:7" ht="15">
      <c r="A2294" s="81" t="s">
        <v>2769</v>
      </c>
      <c r="B2294" s="80">
        <v>3</v>
      </c>
      <c r="C2294" s="104">
        <v>0.0023426897885961253</v>
      </c>
      <c r="D2294" s="80" t="s">
        <v>2188</v>
      </c>
      <c r="E2294" s="80" t="b">
        <v>0</v>
      </c>
      <c r="F2294" s="80" t="b">
        <v>0</v>
      </c>
      <c r="G2294" s="80" t="b">
        <v>0</v>
      </c>
    </row>
    <row r="2295" spans="1:7" ht="15">
      <c r="A2295" s="81" t="s">
        <v>2230</v>
      </c>
      <c r="B2295" s="80">
        <v>3</v>
      </c>
      <c r="C2295" s="104">
        <v>0.0023426897885961253</v>
      </c>
      <c r="D2295" s="80" t="s">
        <v>2188</v>
      </c>
      <c r="E2295" s="80" t="b">
        <v>0</v>
      </c>
      <c r="F2295" s="80" t="b">
        <v>0</v>
      </c>
      <c r="G2295" s="80" t="b">
        <v>0</v>
      </c>
    </row>
    <row r="2296" spans="1:7" ht="15">
      <c r="A2296" s="81" t="s">
        <v>2843</v>
      </c>
      <c r="B2296" s="80">
        <v>3</v>
      </c>
      <c r="C2296" s="104">
        <v>0.003210211389933247</v>
      </c>
      <c r="D2296" s="80" t="s">
        <v>2188</v>
      </c>
      <c r="E2296" s="80" t="b">
        <v>0</v>
      </c>
      <c r="F2296" s="80" t="b">
        <v>0</v>
      </c>
      <c r="G2296" s="80" t="b">
        <v>0</v>
      </c>
    </row>
    <row r="2297" spans="1:7" ht="15">
      <c r="A2297" s="81" t="s">
        <v>2809</v>
      </c>
      <c r="B2297" s="80">
        <v>3</v>
      </c>
      <c r="C2297" s="104">
        <v>0.0018352221832483408</v>
      </c>
      <c r="D2297" s="80" t="s">
        <v>2188</v>
      </c>
      <c r="E2297" s="80" t="b">
        <v>0</v>
      </c>
      <c r="F2297" s="80" t="b">
        <v>0</v>
      </c>
      <c r="G2297" s="80" t="b">
        <v>0</v>
      </c>
    </row>
    <row r="2298" spans="1:7" ht="15">
      <c r="A2298" s="81" t="s">
        <v>2521</v>
      </c>
      <c r="B2298" s="80">
        <v>3</v>
      </c>
      <c r="C2298" s="104">
        <v>0.0023426897885961253</v>
      </c>
      <c r="D2298" s="80" t="s">
        <v>2188</v>
      </c>
      <c r="E2298" s="80" t="b">
        <v>0</v>
      </c>
      <c r="F2298" s="80" t="b">
        <v>0</v>
      </c>
      <c r="G2298" s="80" t="b">
        <v>0</v>
      </c>
    </row>
    <row r="2299" spans="1:7" ht="15">
      <c r="A2299" s="81" t="s">
        <v>2543</v>
      </c>
      <c r="B2299" s="80">
        <v>3</v>
      </c>
      <c r="C2299" s="104">
        <v>0.003210211389933247</v>
      </c>
      <c r="D2299" s="80" t="s">
        <v>2188</v>
      </c>
      <c r="E2299" s="80" t="b">
        <v>0</v>
      </c>
      <c r="F2299" s="80" t="b">
        <v>0</v>
      </c>
      <c r="G2299" s="80" t="b">
        <v>0</v>
      </c>
    </row>
    <row r="2300" spans="1:7" ht="15">
      <c r="A2300" s="81" t="s">
        <v>2352</v>
      </c>
      <c r="B2300" s="80">
        <v>3</v>
      </c>
      <c r="C2300" s="104">
        <v>0.0023426897885961253</v>
      </c>
      <c r="D2300" s="80" t="s">
        <v>2188</v>
      </c>
      <c r="E2300" s="80" t="b">
        <v>0</v>
      </c>
      <c r="F2300" s="80" t="b">
        <v>0</v>
      </c>
      <c r="G2300" s="80" t="b">
        <v>0</v>
      </c>
    </row>
    <row r="2301" spans="1:7" ht="15">
      <c r="A2301" s="81" t="s">
        <v>2337</v>
      </c>
      <c r="B2301" s="80">
        <v>3</v>
      </c>
      <c r="C2301" s="104">
        <v>0.0018352221832483408</v>
      </c>
      <c r="D2301" s="80" t="s">
        <v>2188</v>
      </c>
      <c r="E2301" s="80" t="b">
        <v>0</v>
      </c>
      <c r="F2301" s="80" t="b">
        <v>0</v>
      </c>
      <c r="G2301" s="80" t="b">
        <v>0</v>
      </c>
    </row>
    <row r="2302" spans="1:7" ht="15">
      <c r="A2302" s="81" t="s">
        <v>2263</v>
      </c>
      <c r="B2302" s="80">
        <v>3</v>
      </c>
      <c r="C2302" s="104">
        <v>0.0018352221832483408</v>
      </c>
      <c r="D2302" s="80" t="s">
        <v>2188</v>
      </c>
      <c r="E2302" s="80" t="b">
        <v>0</v>
      </c>
      <c r="F2302" s="80" t="b">
        <v>0</v>
      </c>
      <c r="G2302" s="80" t="b">
        <v>0</v>
      </c>
    </row>
    <row r="2303" spans="1:7" ht="15">
      <c r="A2303" s="81" t="s">
        <v>2850</v>
      </c>
      <c r="B2303" s="80">
        <v>3</v>
      </c>
      <c r="C2303" s="104">
        <v>0.0023426897885961253</v>
      </c>
      <c r="D2303" s="80" t="s">
        <v>2188</v>
      </c>
      <c r="E2303" s="80" t="b">
        <v>0</v>
      </c>
      <c r="F2303" s="80" t="b">
        <v>0</v>
      </c>
      <c r="G2303" s="80" t="b">
        <v>0</v>
      </c>
    </row>
    <row r="2304" spans="1:7" ht="15">
      <c r="A2304" s="81" t="s">
        <v>2248</v>
      </c>
      <c r="B2304" s="80">
        <v>3</v>
      </c>
      <c r="C2304" s="104">
        <v>0.0018352221832483408</v>
      </c>
      <c r="D2304" s="80" t="s">
        <v>2188</v>
      </c>
      <c r="E2304" s="80" t="b">
        <v>0</v>
      </c>
      <c r="F2304" s="80" t="b">
        <v>0</v>
      </c>
      <c r="G2304" s="80" t="b">
        <v>0</v>
      </c>
    </row>
    <row r="2305" spans="1:7" ht="15">
      <c r="A2305" s="81" t="s">
        <v>2229</v>
      </c>
      <c r="B2305" s="80">
        <v>3</v>
      </c>
      <c r="C2305" s="104">
        <v>0.0023426897885961253</v>
      </c>
      <c r="D2305" s="80" t="s">
        <v>2188</v>
      </c>
      <c r="E2305" s="80" t="b">
        <v>0</v>
      </c>
      <c r="F2305" s="80" t="b">
        <v>0</v>
      </c>
      <c r="G2305" s="80" t="b">
        <v>0</v>
      </c>
    </row>
    <row r="2306" spans="1:7" ht="15">
      <c r="A2306" s="81" t="s">
        <v>2231</v>
      </c>
      <c r="B2306" s="80">
        <v>3</v>
      </c>
      <c r="C2306" s="104">
        <v>0.003210211389933247</v>
      </c>
      <c r="D2306" s="80" t="s">
        <v>2188</v>
      </c>
      <c r="E2306" s="80" t="b">
        <v>0</v>
      </c>
      <c r="F2306" s="80" t="b">
        <v>0</v>
      </c>
      <c r="G2306" s="80" t="b">
        <v>0</v>
      </c>
    </row>
    <row r="2307" spans="1:7" ht="15">
      <c r="A2307" s="81" t="s">
        <v>2486</v>
      </c>
      <c r="B2307" s="80">
        <v>3</v>
      </c>
      <c r="C2307" s="104">
        <v>0.0018352221832483408</v>
      </c>
      <c r="D2307" s="80" t="s">
        <v>2188</v>
      </c>
      <c r="E2307" s="80" t="b">
        <v>0</v>
      </c>
      <c r="F2307" s="80" t="b">
        <v>0</v>
      </c>
      <c r="G2307" s="80" t="b">
        <v>0</v>
      </c>
    </row>
    <row r="2308" spans="1:7" ht="15">
      <c r="A2308" s="81" t="s">
        <v>2542</v>
      </c>
      <c r="B2308" s="80">
        <v>3</v>
      </c>
      <c r="C2308" s="104">
        <v>0.0018352221832483408</v>
      </c>
      <c r="D2308" s="80" t="s">
        <v>2188</v>
      </c>
      <c r="E2308" s="80" t="b">
        <v>0</v>
      </c>
      <c r="F2308" s="80" t="b">
        <v>0</v>
      </c>
      <c r="G2308" s="80" t="b">
        <v>0</v>
      </c>
    </row>
    <row r="2309" spans="1:7" ht="15">
      <c r="A2309" s="81" t="s">
        <v>2316</v>
      </c>
      <c r="B2309" s="80">
        <v>3</v>
      </c>
      <c r="C2309" s="104">
        <v>0.003210211389933247</v>
      </c>
      <c r="D2309" s="80" t="s">
        <v>2188</v>
      </c>
      <c r="E2309" s="80" t="b">
        <v>0</v>
      </c>
      <c r="F2309" s="80" t="b">
        <v>0</v>
      </c>
      <c r="G2309" s="80" t="b">
        <v>0</v>
      </c>
    </row>
    <row r="2310" spans="1:7" ht="15">
      <c r="A2310" s="81" t="s">
        <v>2266</v>
      </c>
      <c r="B2310" s="80">
        <v>3</v>
      </c>
      <c r="C2310" s="104">
        <v>0.0018352221832483408</v>
      </c>
      <c r="D2310" s="80" t="s">
        <v>2188</v>
      </c>
      <c r="E2310" s="80" t="b">
        <v>0</v>
      </c>
      <c r="F2310" s="80" t="b">
        <v>0</v>
      </c>
      <c r="G2310" s="80" t="b">
        <v>0</v>
      </c>
    </row>
    <row r="2311" spans="1:7" ht="15">
      <c r="A2311" s="81" t="s">
        <v>2257</v>
      </c>
      <c r="B2311" s="80">
        <v>3</v>
      </c>
      <c r="C2311" s="104">
        <v>0.0018352221832483408</v>
      </c>
      <c r="D2311" s="80" t="s">
        <v>2188</v>
      </c>
      <c r="E2311" s="80" t="b">
        <v>0</v>
      </c>
      <c r="F2311" s="80" t="b">
        <v>0</v>
      </c>
      <c r="G2311" s="80" t="b">
        <v>0</v>
      </c>
    </row>
    <row r="2312" spans="1:7" ht="15">
      <c r="A2312" s="81" t="s">
        <v>2701</v>
      </c>
      <c r="B2312" s="80">
        <v>3</v>
      </c>
      <c r="C2312" s="104">
        <v>0.0018352221832483408</v>
      </c>
      <c r="D2312" s="80" t="s">
        <v>2188</v>
      </c>
      <c r="E2312" s="80" t="b">
        <v>0</v>
      </c>
      <c r="F2312" s="80" t="b">
        <v>0</v>
      </c>
      <c r="G2312" s="80" t="b">
        <v>0</v>
      </c>
    </row>
    <row r="2313" spans="1:7" ht="15">
      <c r="A2313" s="81" t="s">
        <v>2722</v>
      </c>
      <c r="B2313" s="80">
        <v>3</v>
      </c>
      <c r="C2313" s="104">
        <v>0.0023426897885961253</v>
      </c>
      <c r="D2313" s="80" t="s">
        <v>2188</v>
      </c>
      <c r="E2313" s="80" t="b">
        <v>0</v>
      </c>
      <c r="F2313" s="80" t="b">
        <v>0</v>
      </c>
      <c r="G2313" s="80" t="b">
        <v>0</v>
      </c>
    </row>
    <row r="2314" spans="1:7" ht="15">
      <c r="A2314" s="81" t="s">
        <v>2368</v>
      </c>
      <c r="B2314" s="80">
        <v>3</v>
      </c>
      <c r="C2314" s="104">
        <v>0.0018352221832483408</v>
      </c>
      <c r="D2314" s="80" t="s">
        <v>2188</v>
      </c>
      <c r="E2314" s="80" t="b">
        <v>0</v>
      </c>
      <c r="F2314" s="80" t="b">
        <v>0</v>
      </c>
      <c r="G2314" s="80" t="b">
        <v>0</v>
      </c>
    </row>
    <row r="2315" spans="1:7" ht="15">
      <c r="A2315" s="81" t="s">
        <v>2807</v>
      </c>
      <c r="B2315" s="80">
        <v>3</v>
      </c>
      <c r="C2315" s="104">
        <v>0.003210211389933247</v>
      </c>
      <c r="D2315" s="80" t="s">
        <v>2188</v>
      </c>
      <c r="E2315" s="80" t="b">
        <v>0</v>
      </c>
      <c r="F2315" s="80" t="b">
        <v>0</v>
      </c>
      <c r="G2315" s="80" t="b">
        <v>0</v>
      </c>
    </row>
    <row r="2316" spans="1:7" ht="15">
      <c r="A2316" s="81" t="s">
        <v>2536</v>
      </c>
      <c r="B2316" s="80">
        <v>3</v>
      </c>
      <c r="C2316" s="104">
        <v>0.003210211389933247</v>
      </c>
      <c r="D2316" s="80" t="s">
        <v>2188</v>
      </c>
      <c r="E2316" s="80" t="b">
        <v>0</v>
      </c>
      <c r="F2316" s="80" t="b">
        <v>0</v>
      </c>
      <c r="G2316" s="80" t="b">
        <v>0</v>
      </c>
    </row>
    <row r="2317" spans="1:7" ht="15">
      <c r="A2317" s="81" t="s">
        <v>2735</v>
      </c>
      <c r="B2317" s="80">
        <v>3</v>
      </c>
      <c r="C2317" s="104">
        <v>0.003210211389933247</v>
      </c>
      <c r="D2317" s="80" t="s">
        <v>2188</v>
      </c>
      <c r="E2317" s="80" t="b">
        <v>0</v>
      </c>
      <c r="F2317" s="80" t="b">
        <v>0</v>
      </c>
      <c r="G2317" s="80" t="b">
        <v>0</v>
      </c>
    </row>
    <row r="2318" spans="1:7" ht="15">
      <c r="A2318" s="81" t="s">
        <v>2736</v>
      </c>
      <c r="B2318" s="80">
        <v>3</v>
      </c>
      <c r="C2318" s="104">
        <v>0.003210211389933247</v>
      </c>
      <c r="D2318" s="80" t="s">
        <v>2188</v>
      </c>
      <c r="E2318" s="80" t="b">
        <v>0</v>
      </c>
      <c r="F2318" s="80" t="b">
        <v>0</v>
      </c>
      <c r="G2318" s="80" t="b">
        <v>0</v>
      </c>
    </row>
    <row r="2319" spans="1:7" ht="15">
      <c r="A2319" s="81" t="s">
        <v>2589</v>
      </c>
      <c r="B2319" s="80">
        <v>3</v>
      </c>
      <c r="C2319" s="104">
        <v>0.0023426897885961253</v>
      </c>
      <c r="D2319" s="80" t="s">
        <v>2188</v>
      </c>
      <c r="E2319" s="80" t="b">
        <v>0</v>
      </c>
      <c r="F2319" s="80" t="b">
        <v>0</v>
      </c>
      <c r="G2319" s="80" t="b">
        <v>0</v>
      </c>
    </row>
    <row r="2320" spans="1:7" ht="15">
      <c r="A2320" s="81" t="s">
        <v>2659</v>
      </c>
      <c r="B2320" s="80">
        <v>3</v>
      </c>
      <c r="C2320" s="104">
        <v>0.0023426897885961253</v>
      </c>
      <c r="D2320" s="80" t="s">
        <v>2188</v>
      </c>
      <c r="E2320" s="80" t="b">
        <v>0</v>
      </c>
      <c r="F2320" s="80" t="b">
        <v>0</v>
      </c>
      <c r="G2320" s="80" t="b">
        <v>0</v>
      </c>
    </row>
    <row r="2321" spans="1:7" ht="15">
      <c r="A2321" s="81" t="s">
        <v>2855</v>
      </c>
      <c r="B2321" s="80">
        <v>3</v>
      </c>
      <c r="C2321" s="104">
        <v>0.003210211389933247</v>
      </c>
      <c r="D2321" s="80" t="s">
        <v>2188</v>
      </c>
      <c r="E2321" s="80" t="b">
        <v>0</v>
      </c>
      <c r="F2321" s="80" t="b">
        <v>0</v>
      </c>
      <c r="G2321" s="80" t="b">
        <v>0</v>
      </c>
    </row>
    <row r="2322" spans="1:7" ht="15">
      <c r="A2322" s="81" t="s">
        <v>2469</v>
      </c>
      <c r="B2322" s="80">
        <v>3</v>
      </c>
      <c r="C2322" s="104">
        <v>0.0023426897885961253</v>
      </c>
      <c r="D2322" s="80" t="s">
        <v>2188</v>
      </c>
      <c r="E2322" s="80" t="b">
        <v>0</v>
      </c>
      <c r="F2322" s="80" t="b">
        <v>0</v>
      </c>
      <c r="G2322" s="80" t="b">
        <v>0</v>
      </c>
    </row>
    <row r="2323" spans="1:7" ht="15">
      <c r="A2323" s="81" t="s">
        <v>2793</v>
      </c>
      <c r="B2323" s="80">
        <v>3</v>
      </c>
      <c r="C2323" s="104">
        <v>0.0018352221832483408</v>
      </c>
      <c r="D2323" s="80" t="s">
        <v>2188</v>
      </c>
      <c r="E2323" s="80" t="b">
        <v>0</v>
      </c>
      <c r="F2323" s="80" t="b">
        <v>0</v>
      </c>
      <c r="G2323" s="80" t="b">
        <v>0</v>
      </c>
    </row>
    <row r="2324" spans="1:7" ht="15">
      <c r="A2324" s="81" t="s">
        <v>2400</v>
      </c>
      <c r="B2324" s="80">
        <v>3</v>
      </c>
      <c r="C2324" s="104">
        <v>0.003210211389933247</v>
      </c>
      <c r="D2324" s="80" t="s">
        <v>2188</v>
      </c>
      <c r="E2324" s="80" t="b">
        <v>0</v>
      </c>
      <c r="F2324" s="80" t="b">
        <v>0</v>
      </c>
      <c r="G2324" s="80" t="b">
        <v>0</v>
      </c>
    </row>
    <row r="2325" spans="1:7" ht="15">
      <c r="A2325" s="81" t="s">
        <v>2264</v>
      </c>
      <c r="B2325" s="80">
        <v>3</v>
      </c>
      <c r="C2325" s="104">
        <v>0.0023426897885961253</v>
      </c>
      <c r="D2325" s="80" t="s">
        <v>2188</v>
      </c>
      <c r="E2325" s="80" t="b">
        <v>0</v>
      </c>
      <c r="F2325" s="80" t="b">
        <v>0</v>
      </c>
      <c r="G2325" s="80" t="b">
        <v>0</v>
      </c>
    </row>
    <row r="2326" spans="1:7" ht="15">
      <c r="A2326" s="81" t="s">
        <v>2490</v>
      </c>
      <c r="B2326" s="80">
        <v>3</v>
      </c>
      <c r="C2326" s="104">
        <v>0.0023426897885961253</v>
      </c>
      <c r="D2326" s="80" t="s">
        <v>2188</v>
      </c>
      <c r="E2326" s="80" t="b">
        <v>0</v>
      </c>
      <c r="F2326" s="80" t="b">
        <v>0</v>
      </c>
      <c r="G2326" s="80" t="b">
        <v>0</v>
      </c>
    </row>
    <row r="2327" spans="1:7" ht="15">
      <c r="A2327" s="81" t="s">
        <v>2258</v>
      </c>
      <c r="B2327" s="80">
        <v>2</v>
      </c>
      <c r="C2327" s="104">
        <v>0.001561793192397417</v>
      </c>
      <c r="D2327" s="80" t="s">
        <v>2188</v>
      </c>
      <c r="E2327" s="80" t="b">
        <v>0</v>
      </c>
      <c r="F2327" s="80" t="b">
        <v>0</v>
      </c>
      <c r="G2327" s="80" t="b">
        <v>0</v>
      </c>
    </row>
    <row r="2328" spans="1:7" ht="15">
      <c r="A2328" s="81" t="s">
        <v>3239</v>
      </c>
      <c r="B2328" s="80">
        <v>2</v>
      </c>
      <c r="C2328" s="104">
        <v>0.0021401409266221644</v>
      </c>
      <c r="D2328" s="80" t="s">
        <v>2188</v>
      </c>
      <c r="E2328" s="80" t="b">
        <v>0</v>
      </c>
      <c r="F2328" s="80" t="b">
        <v>0</v>
      </c>
      <c r="G2328" s="80" t="b">
        <v>0</v>
      </c>
    </row>
    <row r="2329" spans="1:7" ht="15">
      <c r="A2329" s="81" t="s">
        <v>2601</v>
      </c>
      <c r="B2329" s="80">
        <v>2</v>
      </c>
      <c r="C2329" s="104">
        <v>0.001561793192397417</v>
      </c>
      <c r="D2329" s="80" t="s">
        <v>2188</v>
      </c>
      <c r="E2329" s="80" t="b">
        <v>0</v>
      </c>
      <c r="F2329" s="80" t="b">
        <v>0</v>
      </c>
      <c r="G2329" s="80" t="b">
        <v>0</v>
      </c>
    </row>
    <row r="2330" spans="1:7" ht="15">
      <c r="A2330" s="81" t="s">
        <v>3289</v>
      </c>
      <c r="B2330" s="80">
        <v>2</v>
      </c>
      <c r="C2330" s="104">
        <v>0.0021401409266221644</v>
      </c>
      <c r="D2330" s="80" t="s">
        <v>2188</v>
      </c>
      <c r="E2330" s="80" t="b">
        <v>0</v>
      </c>
      <c r="F2330" s="80" t="b">
        <v>0</v>
      </c>
      <c r="G2330" s="80" t="b">
        <v>0</v>
      </c>
    </row>
    <row r="2331" spans="1:7" ht="15">
      <c r="A2331" s="81" t="s">
        <v>2524</v>
      </c>
      <c r="B2331" s="80">
        <v>2</v>
      </c>
      <c r="C2331" s="104">
        <v>0.001561793192397417</v>
      </c>
      <c r="D2331" s="80" t="s">
        <v>2188</v>
      </c>
      <c r="E2331" s="80" t="b">
        <v>0</v>
      </c>
      <c r="F2331" s="80" t="b">
        <v>0</v>
      </c>
      <c r="G2331" s="80" t="b">
        <v>0</v>
      </c>
    </row>
    <row r="2332" spans="1:7" ht="15">
      <c r="A2332" s="81" t="s">
        <v>3045</v>
      </c>
      <c r="B2332" s="80">
        <v>2</v>
      </c>
      <c r="C2332" s="104">
        <v>0.001561793192397417</v>
      </c>
      <c r="D2332" s="80" t="s">
        <v>2188</v>
      </c>
      <c r="E2332" s="80" t="b">
        <v>0</v>
      </c>
      <c r="F2332" s="80" t="b">
        <v>0</v>
      </c>
      <c r="G2332" s="80" t="b">
        <v>0</v>
      </c>
    </row>
    <row r="2333" spans="1:7" ht="15">
      <c r="A2333" s="81" t="s">
        <v>2839</v>
      </c>
      <c r="B2333" s="80">
        <v>2</v>
      </c>
      <c r="C2333" s="104">
        <v>0.0021401409266221644</v>
      </c>
      <c r="D2333" s="80" t="s">
        <v>2188</v>
      </c>
      <c r="E2333" s="80" t="b">
        <v>0</v>
      </c>
      <c r="F2333" s="80" t="b">
        <v>0</v>
      </c>
      <c r="G2333" s="80" t="b">
        <v>0</v>
      </c>
    </row>
    <row r="2334" spans="1:7" ht="15">
      <c r="A2334" s="81" t="s">
        <v>3086</v>
      </c>
      <c r="B2334" s="80">
        <v>2</v>
      </c>
      <c r="C2334" s="104">
        <v>0.001561793192397417</v>
      </c>
      <c r="D2334" s="80" t="s">
        <v>2188</v>
      </c>
      <c r="E2334" s="80" t="b">
        <v>0</v>
      </c>
      <c r="F2334" s="80" t="b">
        <v>0</v>
      </c>
      <c r="G2334" s="80" t="b">
        <v>0</v>
      </c>
    </row>
    <row r="2335" spans="1:7" ht="15">
      <c r="A2335" s="81" t="s">
        <v>2891</v>
      </c>
      <c r="B2335" s="80">
        <v>2</v>
      </c>
      <c r="C2335" s="104">
        <v>0.0021401409266221644</v>
      </c>
      <c r="D2335" s="80" t="s">
        <v>2188</v>
      </c>
      <c r="E2335" s="80" t="b">
        <v>0</v>
      </c>
      <c r="F2335" s="80" t="b">
        <v>0</v>
      </c>
      <c r="G2335" s="80" t="b">
        <v>0</v>
      </c>
    </row>
    <row r="2336" spans="1:7" ht="15">
      <c r="A2336" s="81" t="s">
        <v>2630</v>
      </c>
      <c r="B2336" s="80">
        <v>2</v>
      </c>
      <c r="C2336" s="104">
        <v>0.0021401409266221644</v>
      </c>
      <c r="D2336" s="80" t="s">
        <v>2188</v>
      </c>
      <c r="E2336" s="80" t="b">
        <v>0</v>
      </c>
      <c r="F2336" s="80" t="b">
        <v>0</v>
      </c>
      <c r="G2336" s="80" t="b">
        <v>0</v>
      </c>
    </row>
    <row r="2337" spans="1:7" ht="15">
      <c r="A2337" s="81" t="s">
        <v>2958</v>
      </c>
      <c r="B2337" s="80">
        <v>2</v>
      </c>
      <c r="C2337" s="104">
        <v>0.0021401409266221644</v>
      </c>
      <c r="D2337" s="80" t="s">
        <v>2188</v>
      </c>
      <c r="E2337" s="80" t="b">
        <v>0</v>
      </c>
      <c r="F2337" s="80" t="b">
        <v>0</v>
      </c>
      <c r="G2337" s="80" t="b">
        <v>0</v>
      </c>
    </row>
    <row r="2338" spans="1:7" ht="15">
      <c r="A2338" s="81" t="s">
        <v>2556</v>
      </c>
      <c r="B2338" s="80">
        <v>2</v>
      </c>
      <c r="C2338" s="104">
        <v>0.001561793192397417</v>
      </c>
      <c r="D2338" s="80" t="s">
        <v>2188</v>
      </c>
      <c r="E2338" s="80" t="b">
        <v>0</v>
      </c>
      <c r="F2338" s="80" t="b">
        <v>0</v>
      </c>
      <c r="G2338" s="80" t="b">
        <v>0</v>
      </c>
    </row>
    <row r="2339" spans="1:7" ht="15">
      <c r="A2339" s="81" t="s">
        <v>3320</v>
      </c>
      <c r="B2339" s="80">
        <v>2</v>
      </c>
      <c r="C2339" s="104">
        <v>0.001561793192397417</v>
      </c>
      <c r="D2339" s="80" t="s">
        <v>2188</v>
      </c>
      <c r="E2339" s="80" t="b">
        <v>0</v>
      </c>
      <c r="F2339" s="80" t="b">
        <v>0</v>
      </c>
      <c r="G2339" s="80" t="b">
        <v>0</v>
      </c>
    </row>
    <row r="2340" spans="1:7" ht="15">
      <c r="A2340" s="81" t="s">
        <v>3093</v>
      </c>
      <c r="B2340" s="80">
        <v>2</v>
      </c>
      <c r="C2340" s="104">
        <v>0.0021401409266221644</v>
      </c>
      <c r="D2340" s="80" t="s">
        <v>2188</v>
      </c>
      <c r="E2340" s="80" t="b">
        <v>0</v>
      </c>
      <c r="F2340" s="80" t="b">
        <v>0</v>
      </c>
      <c r="G2340" s="80" t="b">
        <v>0</v>
      </c>
    </row>
    <row r="2341" spans="1:7" ht="15">
      <c r="A2341" s="81" t="s">
        <v>2782</v>
      </c>
      <c r="B2341" s="80">
        <v>2</v>
      </c>
      <c r="C2341" s="104">
        <v>0.0021401409266221644</v>
      </c>
      <c r="D2341" s="80" t="s">
        <v>2188</v>
      </c>
      <c r="E2341" s="80" t="b">
        <v>0</v>
      </c>
      <c r="F2341" s="80" t="b">
        <v>0</v>
      </c>
      <c r="G2341" s="80" t="b">
        <v>0</v>
      </c>
    </row>
    <row r="2342" spans="1:7" ht="15">
      <c r="A2342" s="81" t="s">
        <v>3240</v>
      </c>
      <c r="B2342" s="80">
        <v>2</v>
      </c>
      <c r="C2342" s="104">
        <v>0.0021401409266221644</v>
      </c>
      <c r="D2342" s="80" t="s">
        <v>2188</v>
      </c>
      <c r="E2342" s="80" t="b">
        <v>0</v>
      </c>
      <c r="F2342" s="80" t="b">
        <v>0</v>
      </c>
      <c r="G2342" s="80" t="b">
        <v>0</v>
      </c>
    </row>
    <row r="2343" spans="1:7" ht="15">
      <c r="A2343" s="81" t="s">
        <v>3254</v>
      </c>
      <c r="B2343" s="80">
        <v>2</v>
      </c>
      <c r="C2343" s="104">
        <v>0.001561793192397417</v>
      </c>
      <c r="D2343" s="80" t="s">
        <v>2188</v>
      </c>
      <c r="E2343" s="80" t="b">
        <v>0</v>
      </c>
      <c r="F2343" s="80" t="b">
        <v>0</v>
      </c>
      <c r="G2343" s="80" t="b">
        <v>0</v>
      </c>
    </row>
    <row r="2344" spans="1:7" ht="15">
      <c r="A2344" s="81" t="s">
        <v>2272</v>
      </c>
      <c r="B2344" s="80">
        <v>2</v>
      </c>
      <c r="C2344" s="104">
        <v>0.001561793192397417</v>
      </c>
      <c r="D2344" s="80" t="s">
        <v>2188</v>
      </c>
      <c r="E2344" s="80" t="b">
        <v>0</v>
      </c>
      <c r="F2344" s="80" t="b">
        <v>0</v>
      </c>
      <c r="G2344" s="80" t="b">
        <v>0</v>
      </c>
    </row>
    <row r="2345" spans="1:7" ht="15">
      <c r="A2345" s="81" t="s">
        <v>2314</v>
      </c>
      <c r="B2345" s="80">
        <v>2</v>
      </c>
      <c r="C2345" s="104">
        <v>0.001561793192397417</v>
      </c>
      <c r="D2345" s="80" t="s">
        <v>2188</v>
      </c>
      <c r="E2345" s="80" t="b">
        <v>0</v>
      </c>
      <c r="F2345" s="80" t="b">
        <v>0</v>
      </c>
      <c r="G2345" s="80" t="b">
        <v>0</v>
      </c>
    </row>
    <row r="2346" spans="1:7" ht="15">
      <c r="A2346" s="81" t="s">
        <v>2939</v>
      </c>
      <c r="B2346" s="80">
        <v>2</v>
      </c>
      <c r="C2346" s="104">
        <v>0.0021401409266221644</v>
      </c>
      <c r="D2346" s="80" t="s">
        <v>2188</v>
      </c>
      <c r="E2346" s="80" t="b">
        <v>0</v>
      </c>
      <c r="F2346" s="80" t="b">
        <v>0</v>
      </c>
      <c r="G2346" s="80" t="b">
        <v>0</v>
      </c>
    </row>
    <row r="2347" spans="1:7" ht="15">
      <c r="A2347" s="81" t="s">
        <v>2885</v>
      </c>
      <c r="B2347" s="80">
        <v>2</v>
      </c>
      <c r="C2347" s="104">
        <v>0.001561793192397417</v>
      </c>
      <c r="D2347" s="80" t="s">
        <v>2188</v>
      </c>
      <c r="E2347" s="80" t="b">
        <v>0</v>
      </c>
      <c r="F2347" s="80" t="b">
        <v>0</v>
      </c>
      <c r="G2347" s="80" t="b">
        <v>0</v>
      </c>
    </row>
    <row r="2348" spans="1:7" ht="15">
      <c r="A2348" s="81" t="s">
        <v>3002</v>
      </c>
      <c r="B2348" s="80">
        <v>2</v>
      </c>
      <c r="C2348" s="104">
        <v>0.0021401409266221644</v>
      </c>
      <c r="D2348" s="80" t="s">
        <v>2188</v>
      </c>
      <c r="E2348" s="80" t="b">
        <v>0</v>
      </c>
      <c r="F2348" s="80" t="b">
        <v>0</v>
      </c>
      <c r="G2348" s="80" t="b">
        <v>0</v>
      </c>
    </row>
    <row r="2349" spans="1:7" ht="15">
      <c r="A2349" s="81" t="s">
        <v>2334</v>
      </c>
      <c r="B2349" s="80">
        <v>2</v>
      </c>
      <c r="C2349" s="104">
        <v>0.0021401409266221644</v>
      </c>
      <c r="D2349" s="80" t="s">
        <v>2188</v>
      </c>
      <c r="E2349" s="80" t="b">
        <v>0</v>
      </c>
      <c r="F2349" s="80" t="b">
        <v>0</v>
      </c>
      <c r="G2349" s="80" t="b">
        <v>0</v>
      </c>
    </row>
    <row r="2350" spans="1:7" ht="15">
      <c r="A2350" s="81" t="s">
        <v>2381</v>
      </c>
      <c r="B2350" s="80">
        <v>2</v>
      </c>
      <c r="C2350" s="104">
        <v>0.0021401409266221644</v>
      </c>
      <c r="D2350" s="80" t="s">
        <v>2188</v>
      </c>
      <c r="E2350" s="80" t="b">
        <v>0</v>
      </c>
      <c r="F2350" s="80" t="b">
        <v>0</v>
      </c>
      <c r="G2350" s="80" t="b">
        <v>0</v>
      </c>
    </row>
    <row r="2351" spans="1:7" ht="15">
      <c r="A2351" s="81" t="s">
        <v>2730</v>
      </c>
      <c r="B2351" s="80">
        <v>2</v>
      </c>
      <c r="C2351" s="104">
        <v>0.0021401409266221644</v>
      </c>
      <c r="D2351" s="80" t="s">
        <v>2188</v>
      </c>
      <c r="E2351" s="80" t="b">
        <v>0</v>
      </c>
      <c r="F2351" s="80" t="b">
        <v>0</v>
      </c>
      <c r="G2351" s="80" t="b">
        <v>0</v>
      </c>
    </row>
    <row r="2352" spans="1:7" ht="15">
      <c r="A2352" s="81" t="s">
        <v>2713</v>
      </c>
      <c r="B2352" s="80">
        <v>2</v>
      </c>
      <c r="C2352" s="104">
        <v>0.0021401409266221644</v>
      </c>
      <c r="D2352" s="80" t="s">
        <v>2188</v>
      </c>
      <c r="E2352" s="80" t="b">
        <v>0</v>
      </c>
      <c r="F2352" s="80" t="b">
        <v>0</v>
      </c>
      <c r="G2352" s="80" t="b">
        <v>0</v>
      </c>
    </row>
    <row r="2353" spans="1:7" ht="15">
      <c r="A2353" s="81" t="s">
        <v>3042</v>
      </c>
      <c r="B2353" s="80">
        <v>2</v>
      </c>
      <c r="C2353" s="104">
        <v>0.0021401409266221644</v>
      </c>
      <c r="D2353" s="80" t="s">
        <v>2188</v>
      </c>
      <c r="E2353" s="80" t="b">
        <v>0</v>
      </c>
      <c r="F2353" s="80" t="b">
        <v>0</v>
      </c>
      <c r="G2353" s="80" t="b">
        <v>0</v>
      </c>
    </row>
    <row r="2354" spans="1:7" ht="15">
      <c r="A2354" s="81" t="s">
        <v>3198</v>
      </c>
      <c r="B2354" s="80">
        <v>2</v>
      </c>
      <c r="C2354" s="104">
        <v>0.001561793192397417</v>
      </c>
      <c r="D2354" s="80" t="s">
        <v>2188</v>
      </c>
      <c r="E2354" s="80" t="b">
        <v>0</v>
      </c>
      <c r="F2354" s="80" t="b">
        <v>0</v>
      </c>
      <c r="G2354" s="80" t="b">
        <v>0</v>
      </c>
    </row>
    <row r="2355" spans="1:7" ht="15">
      <c r="A2355" s="81" t="s">
        <v>3157</v>
      </c>
      <c r="B2355" s="80">
        <v>2</v>
      </c>
      <c r="C2355" s="104">
        <v>0.001561793192397417</v>
      </c>
      <c r="D2355" s="80" t="s">
        <v>2188</v>
      </c>
      <c r="E2355" s="80" t="b">
        <v>0</v>
      </c>
      <c r="F2355" s="80" t="b">
        <v>0</v>
      </c>
      <c r="G2355" s="80" t="b">
        <v>0</v>
      </c>
    </row>
    <row r="2356" spans="1:7" ht="15">
      <c r="A2356" s="81" t="s">
        <v>2679</v>
      </c>
      <c r="B2356" s="80">
        <v>2</v>
      </c>
      <c r="C2356" s="104">
        <v>0.0021401409266221644</v>
      </c>
      <c r="D2356" s="80" t="s">
        <v>2188</v>
      </c>
      <c r="E2356" s="80" t="b">
        <v>0</v>
      </c>
      <c r="F2356" s="80" t="b">
        <v>0</v>
      </c>
      <c r="G2356" s="80" t="b">
        <v>0</v>
      </c>
    </row>
    <row r="2357" spans="1:7" ht="15">
      <c r="A2357" s="81" t="s">
        <v>2241</v>
      </c>
      <c r="B2357" s="80">
        <v>2</v>
      </c>
      <c r="C2357" s="104">
        <v>0.0021401409266221644</v>
      </c>
      <c r="D2357" s="80" t="s">
        <v>2188</v>
      </c>
      <c r="E2357" s="80" t="b">
        <v>0</v>
      </c>
      <c r="F2357" s="80" t="b">
        <v>0</v>
      </c>
      <c r="G2357" s="80" t="b">
        <v>0</v>
      </c>
    </row>
    <row r="2358" spans="1:7" ht="15">
      <c r="A2358" s="81" t="s">
        <v>2265</v>
      </c>
      <c r="B2358" s="80">
        <v>2</v>
      </c>
      <c r="C2358" s="104">
        <v>0.0021401409266221644</v>
      </c>
      <c r="D2358" s="80" t="s">
        <v>2188</v>
      </c>
      <c r="E2358" s="80" t="b">
        <v>0</v>
      </c>
      <c r="F2358" s="80" t="b">
        <v>0</v>
      </c>
      <c r="G2358" s="80" t="b">
        <v>0</v>
      </c>
    </row>
    <row r="2359" spans="1:7" ht="15">
      <c r="A2359" s="81" t="s">
        <v>2767</v>
      </c>
      <c r="B2359" s="80">
        <v>2</v>
      </c>
      <c r="C2359" s="104">
        <v>0.001561793192397417</v>
      </c>
      <c r="D2359" s="80" t="s">
        <v>2188</v>
      </c>
      <c r="E2359" s="80" t="b">
        <v>0</v>
      </c>
      <c r="F2359" s="80" t="b">
        <v>0</v>
      </c>
      <c r="G2359" s="80" t="b">
        <v>0</v>
      </c>
    </row>
    <row r="2360" spans="1:7" ht="15">
      <c r="A2360" s="81" t="s">
        <v>2677</v>
      </c>
      <c r="B2360" s="80">
        <v>2</v>
      </c>
      <c r="C2360" s="104">
        <v>0.001561793192397417</v>
      </c>
      <c r="D2360" s="80" t="s">
        <v>2188</v>
      </c>
      <c r="E2360" s="80" t="b">
        <v>0</v>
      </c>
      <c r="F2360" s="80" t="b">
        <v>0</v>
      </c>
      <c r="G2360" s="80" t="b">
        <v>0</v>
      </c>
    </row>
    <row r="2361" spans="1:7" ht="15">
      <c r="A2361" s="81" t="s">
        <v>3302</v>
      </c>
      <c r="B2361" s="80">
        <v>2</v>
      </c>
      <c r="C2361" s="104">
        <v>0.001561793192397417</v>
      </c>
      <c r="D2361" s="80" t="s">
        <v>2188</v>
      </c>
      <c r="E2361" s="80" t="b">
        <v>0</v>
      </c>
      <c r="F2361" s="80" t="b">
        <v>0</v>
      </c>
      <c r="G2361" s="80" t="b">
        <v>0</v>
      </c>
    </row>
    <row r="2362" spans="1:7" ht="15">
      <c r="A2362" s="81" t="s">
        <v>2993</v>
      </c>
      <c r="B2362" s="80">
        <v>2</v>
      </c>
      <c r="C2362" s="104">
        <v>0.001561793192397417</v>
      </c>
      <c r="D2362" s="80" t="s">
        <v>2188</v>
      </c>
      <c r="E2362" s="80" t="b">
        <v>0</v>
      </c>
      <c r="F2362" s="80" t="b">
        <v>0</v>
      </c>
      <c r="G2362" s="80" t="b">
        <v>0</v>
      </c>
    </row>
    <row r="2363" spans="1:7" ht="15">
      <c r="A2363" s="81" t="s">
        <v>3283</v>
      </c>
      <c r="B2363" s="80">
        <v>2</v>
      </c>
      <c r="C2363" s="104">
        <v>0.001561793192397417</v>
      </c>
      <c r="D2363" s="80" t="s">
        <v>2188</v>
      </c>
      <c r="E2363" s="80" t="b">
        <v>0</v>
      </c>
      <c r="F2363" s="80" t="b">
        <v>0</v>
      </c>
      <c r="G2363" s="80" t="b">
        <v>0</v>
      </c>
    </row>
    <row r="2364" spans="1:7" ht="15">
      <c r="A2364" s="81" t="s">
        <v>2720</v>
      </c>
      <c r="B2364" s="80">
        <v>2</v>
      </c>
      <c r="C2364" s="104">
        <v>0.0021401409266221644</v>
      </c>
      <c r="D2364" s="80" t="s">
        <v>2188</v>
      </c>
      <c r="E2364" s="80" t="b">
        <v>0</v>
      </c>
      <c r="F2364" s="80" t="b">
        <v>0</v>
      </c>
      <c r="G2364" s="80" t="b">
        <v>0</v>
      </c>
    </row>
    <row r="2365" spans="1:7" ht="15">
      <c r="A2365" s="81" t="s">
        <v>2663</v>
      </c>
      <c r="B2365" s="80">
        <v>2</v>
      </c>
      <c r="C2365" s="104">
        <v>0.001561793192397417</v>
      </c>
      <c r="D2365" s="80" t="s">
        <v>2188</v>
      </c>
      <c r="E2365" s="80" t="b">
        <v>0</v>
      </c>
      <c r="F2365" s="80" t="b">
        <v>0</v>
      </c>
      <c r="G2365" s="80" t="b">
        <v>0</v>
      </c>
    </row>
    <row r="2366" spans="1:7" ht="15">
      <c r="A2366" s="81" t="s">
        <v>3094</v>
      </c>
      <c r="B2366" s="80">
        <v>2</v>
      </c>
      <c r="C2366" s="104">
        <v>0.0021401409266221644</v>
      </c>
      <c r="D2366" s="80" t="s">
        <v>2188</v>
      </c>
      <c r="E2366" s="80" t="b">
        <v>0</v>
      </c>
      <c r="F2366" s="80" t="b">
        <v>0</v>
      </c>
      <c r="G2366" s="80" t="b">
        <v>0</v>
      </c>
    </row>
    <row r="2367" spans="1:7" ht="15">
      <c r="A2367" s="81" t="s">
        <v>2972</v>
      </c>
      <c r="B2367" s="80">
        <v>2</v>
      </c>
      <c r="C2367" s="104">
        <v>0.001561793192397417</v>
      </c>
      <c r="D2367" s="80" t="s">
        <v>2188</v>
      </c>
      <c r="E2367" s="80" t="b">
        <v>0</v>
      </c>
      <c r="F2367" s="80" t="b">
        <v>0</v>
      </c>
      <c r="G2367" s="80" t="b">
        <v>0</v>
      </c>
    </row>
    <row r="2368" spans="1:7" ht="15">
      <c r="A2368" s="81" t="s">
        <v>2932</v>
      </c>
      <c r="B2368" s="80">
        <v>2</v>
      </c>
      <c r="C2368" s="104">
        <v>0.0021401409266221644</v>
      </c>
      <c r="D2368" s="80" t="s">
        <v>2188</v>
      </c>
      <c r="E2368" s="80" t="b">
        <v>0</v>
      </c>
      <c r="F2368" s="80" t="b">
        <v>0</v>
      </c>
      <c r="G2368" s="80" t="b">
        <v>0</v>
      </c>
    </row>
    <row r="2369" spans="1:7" ht="15">
      <c r="A2369" s="81" t="s">
        <v>2492</v>
      </c>
      <c r="B2369" s="80">
        <v>2</v>
      </c>
      <c r="C2369" s="104">
        <v>0.001561793192397417</v>
      </c>
      <c r="D2369" s="80" t="s">
        <v>2188</v>
      </c>
      <c r="E2369" s="80" t="b">
        <v>0</v>
      </c>
      <c r="F2369" s="80" t="b">
        <v>0</v>
      </c>
      <c r="G2369" s="80" t="b">
        <v>0</v>
      </c>
    </row>
    <row r="2370" spans="1:7" ht="15">
      <c r="A2370" s="81" t="s">
        <v>3249</v>
      </c>
      <c r="B2370" s="80">
        <v>2</v>
      </c>
      <c r="C2370" s="104">
        <v>0.001561793192397417</v>
      </c>
      <c r="D2370" s="80" t="s">
        <v>2188</v>
      </c>
      <c r="E2370" s="80" t="b">
        <v>0</v>
      </c>
      <c r="F2370" s="80" t="b">
        <v>0</v>
      </c>
      <c r="G2370" s="80" t="b">
        <v>0</v>
      </c>
    </row>
    <row r="2371" spans="1:7" ht="15">
      <c r="A2371" s="81" t="s">
        <v>2493</v>
      </c>
      <c r="B2371" s="80">
        <v>2</v>
      </c>
      <c r="C2371" s="104">
        <v>0.0021401409266221644</v>
      </c>
      <c r="D2371" s="80" t="s">
        <v>2188</v>
      </c>
      <c r="E2371" s="80" t="b">
        <v>0</v>
      </c>
      <c r="F2371" s="80" t="b">
        <v>0</v>
      </c>
      <c r="G2371" s="80" t="b">
        <v>0</v>
      </c>
    </row>
    <row r="2372" spans="1:7" ht="15">
      <c r="A2372" s="81" t="s">
        <v>2976</v>
      </c>
      <c r="B2372" s="80">
        <v>2</v>
      </c>
      <c r="C2372" s="104">
        <v>0.001561793192397417</v>
      </c>
      <c r="D2372" s="80" t="s">
        <v>2188</v>
      </c>
      <c r="E2372" s="80" t="b">
        <v>0</v>
      </c>
      <c r="F2372" s="80" t="b">
        <v>0</v>
      </c>
      <c r="G2372" s="80" t="b">
        <v>0</v>
      </c>
    </row>
    <row r="2373" spans="1:7" ht="15">
      <c r="A2373" s="81" t="s">
        <v>2454</v>
      </c>
      <c r="B2373" s="80">
        <v>2</v>
      </c>
      <c r="C2373" s="104">
        <v>0.001561793192397417</v>
      </c>
      <c r="D2373" s="80" t="s">
        <v>2188</v>
      </c>
      <c r="E2373" s="80" t="b">
        <v>0</v>
      </c>
      <c r="F2373" s="80" t="b">
        <v>0</v>
      </c>
      <c r="G2373" s="80" t="b">
        <v>0</v>
      </c>
    </row>
    <row r="2374" spans="1:7" ht="15">
      <c r="A2374" s="81" t="s">
        <v>2367</v>
      </c>
      <c r="B2374" s="80">
        <v>2</v>
      </c>
      <c r="C2374" s="104">
        <v>0.0021401409266221644</v>
      </c>
      <c r="D2374" s="80" t="s">
        <v>2188</v>
      </c>
      <c r="E2374" s="80" t="b">
        <v>0</v>
      </c>
      <c r="F2374" s="80" t="b">
        <v>0</v>
      </c>
      <c r="G2374" s="80" t="b">
        <v>0</v>
      </c>
    </row>
    <row r="2375" spans="1:7" ht="15">
      <c r="A2375" s="81" t="s">
        <v>2821</v>
      </c>
      <c r="B2375" s="80">
        <v>2</v>
      </c>
      <c r="C2375" s="104">
        <v>0.001561793192397417</v>
      </c>
      <c r="D2375" s="80" t="s">
        <v>2188</v>
      </c>
      <c r="E2375" s="80" t="b">
        <v>0</v>
      </c>
      <c r="F2375" s="80" t="b">
        <v>0</v>
      </c>
      <c r="G2375" s="80" t="b">
        <v>0</v>
      </c>
    </row>
    <row r="2376" spans="1:7" ht="15">
      <c r="A2376" s="81" t="s">
        <v>2279</v>
      </c>
      <c r="B2376" s="80">
        <v>2</v>
      </c>
      <c r="C2376" s="104">
        <v>0.0021401409266221644</v>
      </c>
      <c r="D2376" s="80" t="s">
        <v>2188</v>
      </c>
      <c r="E2376" s="80" t="b">
        <v>0</v>
      </c>
      <c r="F2376" s="80" t="b">
        <v>0</v>
      </c>
      <c r="G2376" s="80" t="b">
        <v>0</v>
      </c>
    </row>
    <row r="2377" spans="1:7" ht="15">
      <c r="A2377" s="81" t="s">
        <v>2776</v>
      </c>
      <c r="B2377" s="80">
        <v>2</v>
      </c>
      <c r="C2377" s="104">
        <v>0.0021401409266221644</v>
      </c>
      <c r="D2377" s="80" t="s">
        <v>2188</v>
      </c>
      <c r="E2377" s="80" t="b">
        <v>1</v>
      </c>
      <c r="F2377" s="80" t="b">
        <v>0</v>
      </c>
      <c r="G2377" s="80" t="b">
        <v>0</v>
      </c>
    </row>
    <row r="2378" spans="1:7" ht="15">
      <c r="A2378" s="81" t="s">
        <v>2732</v>
      </c>
      <c r="B2378" s="80">
        <v>2</v>
      </c>
      <c r="C2378" s="104">
        <v>0.0021401409266221644</v>
      </c>
      <c r="D2378" s="80" t="s">
        <v>2188</v>
      </c>
      <c r="E2378" s="80" t="b">
        <v>0</v>
      </c>
      <c r="F2378" s="80" t="b">
        <v>0</v>
      </c>
      <c r="G2378" s="80" t="b">
        <v>0</v>
      </c>
    </row>
    <row r="2379" spans="1:7" ht="15">
      <c r="A2379" s="81" t="s">
        <v>2737</v>
      </c>
      <c r="B2379" s="80">
        <v>2</v>
      </c>
      <c r="C2379" s="104">
        <v>0.0021401409266221644</v>
      </c>
      <c r="D2379" s="80" t="s">
        <v>2188</v>
      </c>
      <c r="E2379" s="80" t="b">
        <v>0</v>
      </c>
      <c r="F2379" s="80" t="b">
        <v>0</v>
      </c>
      <c r="G2379" s="80" t="b">
        <v>0</v>
      </c>
    </row>
    <row r="2380" spans="1:7" ht="15">
      <c r="A2380" s="81" t="s">
        <v>2650</v>
      </c>
      <c r="B2380" s="80">
        <v>2</v>
      </c>
      <c r="C2380" s="104">
        <v>0.001561793192397417</v>
      </c>
      <c r="D2380" s="80" t="s">
        <v>2188</v>
      </c>
      <c r="E2380" s="80" t="b">
        <v>0</v>
      </c>
      <c r="F2380" s="80" t="b">
        <v>0</v>
      </c>
      <c r="G2380" s="80" t="b">
        <v>0</v>
      </c>
    </row>
    <row r="2381" spans="1:7" ht="15">
      <c r="A2381" s="81" t="s">
        <v>2936</v>
      </c>
      <c r="B2381" s="80">
        <v>2</v>
      </c>
      <c r="C2381" s="104">
        <v>0.001561793192397417</v>
      </c>
      <c r="D2381" s="80" t="s">
        <v>2188</v>
      </c>
      <c r="E2381" s="80" t="b">
        <v>0</v>
      </c>
      <c r="F2381" s="80" t="b">
        <v>0</v>
      </c>
      <c r="G2381" s="80" t="b">
        <v>0</v>
      </c>
    </row>
    <row r="2382" spans="1:7" ht="15">
      <c r="A2382" s="81" t="s">
        <v>3036</v>
      </c>
      <c r="B2382" s="80">
        <v>2</v>
      </c>
      <c r="C2382" s="104">
        <v>0.001561793192397417</v>
      </c>
      <c r="D2382" s="80" t="s">
        <v>2188</v>
      </c>
      <c r="E2382" s="80" t="b">
        <v>0</v>
      </c>
      <c r="F2382" s="80" t="b">
        <v>0</v>
      </c>
      <c r="G2382" s="80" t="b">
        <v>0</v>
      </c>
    </row>
    <row r="2383" spans="1:7" ht="15">
      <c r="A2383" s="81" t="s">
        <v>2928</v>
      </c>
      <c r="B2383" s="80">
        <v>2</v>
      </c>
      <c r="C2383" s="104">
        <v>0.001561793192397417</v>
      </c>
      <c r="D2383" s="80" t="s">
        <v>2188</v>
      </c>
      <c r="E2383" s="80" t="b">
        <v>0</v>
      </c>
      <c r="F2383" s="80" t="b">
        <v>0</v>
      </c>
      <c r="G2383" s="80" t="b">
        <v>0</v>
      </c>
    </row>
    <row r="2384" spans="1:7" ht="15">
      <c r="A2384" s="81" t="s">
        <v>3151</v>
      </c>
      <c r="B2384" s="80">
        <v>2</v>
      </c>
      <c r="C2384" s="104">
        <v>0.001561793192397417</v>
      </c>
      <c r="D2384" s="80" t="s">
        <v>2188</v>
      </c>
      <c r="E2384" s="80" t="b">
        <v>0</v>
      </c>
      <c r="F2384" s="80" t="b">
        <v>0</v>
      </c>
      <c r="G2384" s="80" t="b">
        <v>0</v>
      </c>
    </row>
    <row r="2385" spans="1:7" ht="15">
      <c r="A2385" s="81" t="s">
        <v>3304</v>
      </c>
      <c r="B2385" s="80">
        <v>2</v>
      </c>
      <c r="C2385" s="104">
        <v>0.001561793192397417</v>
      </c>
      <c r="D2385" s="80" t="s">
        <v>2188</v>
      </c>
      <c r="E2385" s="80" t="b">
        <v>0</v>
      </c>
      <c r="F2385" s="80" t="b">
        <v>0</v>
      </c>
      <c r="G2385" s="80" t="b">
        <v>0</v>
      </c>
    </row>
    <row r="2386" spans="1:7" ht="15">
      <c r="A2386" s="81" t="s">
        <v>2545</v>
      </c>
      <c r="B2386" s="80">
        <v>2</v>
      </c>
      <c r="C2386" s="104">
        <v>0.001561793192397417</v>
      </c>
      <c r="D2386" s="80" t="s">
        <v>2188</v>
      </c>
      <c r="E2386" s="80" t="b">
        <v>0</v>
      </c>
      <c r="F2386" s="80" t="b">
        <v>0</v>
      </c>
      <c r="G2386" s="80" t="b">
        <v>0</v>
      </c>
    </row>
    <row r="2387" spans="1:7" ht="15">
      <c r="A2387" s="81" t="s">
        <v>2996</v>
      </c>
      <c r="B2387" s="80">
        <v>2</v>
      </c>
      <c r="C2387" s="104">
        <v>0.001561793192397417</v>
      </c>
      <c r="D2387" s="80" t="s">
        <v>2188</v>
      </c>
      <c r="E2387" s="80" t="b">
        <v>0</v>
      </c>
      <c r="F2387" s="80" t="b">
        <v>0</v>
      </c>
      <c r="G2387" s="80" t="b">
        <v>0</v>
      </c>
    </row>
    <row r="2388" spans="1:7" ht="15">
      <c r="A2388" s="81" t="s">
        <v>3186</v>
      </c>
      <c r="B2388" s="80">
        <v>2</v>
      </c>
      <c r="C2388" s="104">
        <v>0.0021401409266221644</v>
      </c>
      <c r="D2388" s="80" t="s">
        <v>2188</v>
      </c>
      <c r="E2388" s="80" t="b">
        <v>0</v>
      </c>
      <c r="F2388" s="80" t="b">
        <v>0</v>
      </c>
      <c r="G2388" s="80" t="b">
        <v>0</v>
      </c>
    </row>
    <row r="2389" spans="1:7" ht="15">
      <c r="A2389" s="81" t="s">
        <v>3029</v>
      </c>
      <c r="B2389" s="80">
        <v>2</v>
      </c>
      <c r="C2389" s="104">
        <v>0.001561793192397417</v>
      </c>
      <c r="D2389" s="80" t="s">
        <v>2188</v>
      </c>
      <c r="E2389" s="80" t="b">
        <v>0</v>
      </c>
      <c r="F2389" s="80" t="b">
        <v>0</v>
      </c>
      <c r="G2389" s="80" t="b">
        <v>0</v>
      </c>
    </row>
    <row r="2390" spans="1:7" ht="15">
      <c r="A2390" s="81" t="s">
        <v>2664</v>
      </c>
      <c r="B2390" s="80">
        <v>2</v>
      </c>
      <c r="C2390" s="104">
        <v>0.001561793192397417</v>
      </c>
      <c r="D2390" s="80" t="s">
        <v>2188</v>
      </c>
      <c r="E2390" s="80" t="b">
        <v>0</v>
      </c>
      <c r="F2390" s="80" t="b">
        <v>0</v>
      </c>
      <c r="G2390" s="80" t="b">
        <v>0</v>
      </c>
    </row>
    <row r="2391" spans="1:7" ht="15">
      <c r="A2391" s="81" t="s">
        <v>3220</v>
      </c>
      <c r="B2391" s="80">
        <v>2</v>
      </c>
      <c r="C2391" s="104">
        <v>0.001561793192397417</v>
      </c>
      <c r="D2391" s="80" t="s">
        <v>2188</v>
      </c>
      <c r="E2391" s="80" t="b">
        <v>0</v>
      </c>
      <c r="F2391" s="80" t="b">
        <v>0</v>
      </c>
      <c r="G2391" s="80" t="b">
        <v>0</v>
      </c>
    </row>
    <row r="2392" spans="1:7" ht="15">
      <c r="A2392" s="81" t="s">
        <v>2459</v>
      </c>
      <c r="B2392" s="80">
        <v>2</v>
      </c>
      <c r="C2392" s="104">
        <v>0.0021401409266221644</v>
      </c>
      <c r="D2392" s="80" t="s">
        <v>2188</v>
      </c>
      <c r="E2392" s="80" t="b">
        <v>0</v>
      </c>
      <c r="F2392" s="80" t="b">
        <v>0</v>
      </c>
      <c r="G2392" s="80" t="b">
        <v>0</v>
      </c>
    </row>
    <row r="2393" spans="1:7" ht="15">
      <c r="A2393" s="81" t="s">
        <v>3286</v>
      </c>
      <c r="B2393" s="80">
        <v>2</v>
      </c>
      <c r="C2393" s="104">
        <v>0.0021401409266221644</v>
      </c>
      <c r="D2393" s="80" t="s">
        <v>2188</v>
      </c>
      <c r="E2393" s="80" t="b">
        <v>0</v>
      </c>
      <c r="F2393" s="80" t="b">
        <v>0</v>
      </c>
      <c r="G2393" s="80" t="b">
        <v>0</v>
      </c>
    </row>
    <row r="2394" spans="1:7" ht="15">
      <c r="A2394" s="81" t="s">
        <v>3018</v>
      </c>
      <c r="B2394" s="80">
        <v>2</v>
      </c>
      <c r="C2394" s="104">
        <v>0.0021401409266221644</v>
      </c>
      <c r="D2394" s="80" t="s">
        <v>2188</v>
      </c>
      <c r="E2394" s="80" t="b">
        <v>0</v>
      </c>
      <c r="F2394" s="80" t="b">
        <v>0</v>
      </c>
      <c r="G2394" s="80" t="b">
        <v>0</v>
      </c>
    </row>
    <row r="2395" spans="1:7" ht="15">
      <c r="A2395" s="81" t="s">
        <v>2303</v>
      </c>
      <c r="B2395" s="80">
        <v>2</v>
      </c>
      <c r="C2395" s="104">
        <v>0.001561793192397417</v>
      </c>
      <c r="D2395" s="80" t="s">
        <v>2188</v>
      </c>
      <c r="E2395" s="80" t="b">
        <v>0</v>
      </c>
      <c r="F2395" s="80" t="b">
        <v>0</v>
      </c>
      <c r="G2395" s="80" t="b">
        <v>0</v>
      </c>
    </row>
    <row r="2396" spans="1:7" ht="15">
      <c r="A2396" s="81" t="s">
        <v>2254</v>
      </c>
      <c r="B2396" s="80">
        <v>2</v>
      </c>
      <c r="C2396" s="104">
        <v>0.001561793192397417</v>
      </c>
      <c r="D2396" s="80" t="s">
        <v>2188</v>
      </c>
      <c r="E2396" s="80" t="b">
        <v>0</v>
      </c>
      <c r="F2396" s="80" t="b">
        <v>0</v>
      </c>
      <c r="G2396" s="80" t="b">
        <v>0</v>
      </c>
    </row>
    <row r="2397" spans="1:7" ht="15">
      <c r="A2397" s="81" t="s">
        <v>2980</v>
      </c>
      <c r="B2397" s="80">
        <v>2</v>
      </c>
      <c r="C2397" s="104">
        <v>0.001561793192397417</v>
      </c>
      <c r="D2397" s="80" t="s">
        <v>2188</v>
      </c>
      <c r="E2397" s="80" t="b">
        <v>0</v>
      </c>
      <c r="F2397" s="80" t="b">
        <v>0</v>
      </c>
      <c r="G2397" s="80" t="b">
        <v>0</v>
      </c>
    </row>
    <row r="2398" spans="1:7" ht="15">
      <c r="A2398" s="81" t="s">
        <v>3217</v>
      </c>
      <c r="B2398" s="80">
        <v>2</v>
      </c>
      <c r="C2398" s="104">
        <v>0.001561793192397417</v>
      </c>
      <c r="D2398" s="80" t="s">
        <v>2188</v>
      </c>
      <c r="E2398" s="80" t="b">
        <v>0</v>
      </c>
      <c r="F2398" s="80" t="b">
        <v>0</v>
      </c>
      <c r="G2398" s="80" t="b">
        <v>0</v>
      </c>
    </row>
    <row r="2399" spans="1:7" ht="15">
      <c r="A2399" s="81" t="s">
        <v>2738</v>
      </c>
      <c r="B2399" s="80">
        <v>2</v>
      </c>
      <c r="C2399" s="104">
        <v>0.001561793192397417</v>
      </c>
      <c r="D2399" s="80" t="s">
        <v>2188</v>
      </c>
      <c r="E2399" s="80" t="b">
        <v>0</v>
      </c>
      <c r="F2399" s="80" t="b">
        <v>0</v>
      </c>
      <c r="G2399" s="80" t="b">
        <v>0</v>
      </c>
    </row>
    <row r="2400" spans="1:7" ht="15">
      <c r="A2400" s="81" t="s">
        <v>3185</v>
      </c>
      <c r="B2400" s="80">
        <v>2</v>
      </c>
      <c r="C2400" s="104">
        <v>0.0021401409266221644</v>
      </c>
      <c r="D2400" s="80" t="s">
        <v>2188</v>
      </c>
      <c r="E2400" s="80" t="b">
        <v>0</v>
      </c>
      <c r="F2400" s="80" t="b">
        <v>0</v>
      </c>
      <c r="G2400" s="80" t="b">
        <v>0</v>
      </c>
    </row>
    <row r="2401" spans="1:7" ht="15">
      <c r="A2401" s="81" t="s">
        <v>3053</v>
      </c>
      <c r="B2401" s="80">
        <v>2</v>
      </c>
      <c r="C2401" s="104">
        <v>0.0021401409266221644</v>
      </c>
      <c r="D2401" s="80" t="s">
        <v>2188</v>
      </c>
      <c r="E2401" s="80" t="b">
        <v>0</v>
      </c>
      <c r="F2401" s="80" t="b">
        <v>0</v>
      </c>
      <c r="G2401" s="80" t="b">
        <v>0</v>
      </c>
    </row>
    <row r="2402" spans="1:7" ht="15">
      <c r="A2402" s="81" t="s">
        <v>2370</v>
      </c>
      <c r="B2402" s="80">
        <v>2</v>
      </c>
      <c r="C2402" s="104">
        <v>0.0021401409266221644</v>
      </c>
      <c r="D2402" s="80" t="s">
        <v>2188</v>
      </c>
      <c r="E2402" s="80" t="b">
        <v>0</v>
      </c>
      <c r="F2402" s="80" t="b">
        <v>0</v>
      </c>
      <c r="G2402" s="80" t="b">
        <v>0</v>
      </c>
    </row>
    <row r="2403" spans="1:7" ht="15">
      <c r="A2403" s="81" t="s">
        <v>2969</v>
      </c>
      <c r="B2403" s="80">
        <v>2</v>
      </c>
      <c r="C2403" s="104">
        <v>0.0021401409266221644</v>
      </c>
      <c r="D2403" s="80" t="s">
        <v>2188</v>
      </c>
      <c r="E2403" s="80" t="b">
        <v>0</v>
      </c>
      <c r="F2403" s="80" t="b">
        <v>0</v>
      </c>
      <c r="G2403" s="80" t="b">
        <v>0</v>
      </c>
    </row>
    <row r="2404" spans="1:7" ht="15">
      <c r="A2404" s="81" t="s">
        <v>2878</v>
      </c>
      <c r="B2404" s="80">
        <v>2</v>
      </c>
      <c r="C2404" s="104">
        <v>0.001561793192397417</v>
      </c>
      <c r="D2404" s="80" t="s">
        <v>2188</v>
      </c>
      <c r="E2404" s="80" t="b">
        <v>0</v>
      </c>
      <c r="F2404" s="80" t="b">
        <v>0</v>
      </c>
      <c r="G2404" s="80" t="b">
        <v>0</v>
      </c>
    </row>
    <row r="2405" spans="1:7" ht="15">
      <c r="A2405" s="81" t="s">
        <v>2682</v>
      </c>
      <c r="B2405" s="80">
        <v>2</v>
      </c>
      <c r="C2405" s="104">
        <v>0.001561793192397417</v>
      </c>
      <c r="D2405" s="80" t="s">
        <v>2188</v>
      </c>
      <c r="E2405" s="80" t="b">
        <v>0</v>
      </c>
      <c r="F2405" s="80" t="b">
        <v>0</v>
      </c>
      <c r="G2405" s="80" t="b">
        <v>0</v>
      </c>
    </row>
    <row r="2406" spans="1:7" ht="15">
      <c r="A2406" s="81" t="s">
        <v>2323</v>
      </c>
      <c r="B2406" s="80">
        <v>2</v>
      </c>
      <c r="C2406" s="104">
        <v>0.0021401409266221644</v>
      </c>
      <c r="D2406" s="80" t="s">
        <v>2188</v>
      </c>
      <c r="E2406" s="80" t="b">
        <v>0</v>
      </c>
      <c r="F2406" s="80" t="b">
        <v>0</v>
      </c>
      <c r="G2406" s="80" t="b">
        <v>0</v>
      </c>
    </row>
    <row r="2407" spans="1:7" ht="15">
      <c r="A2407" s="81" t="s">
        <v>2789</v>
      </c>
      <c r="B2407" s="80">
        <v>2</v>
      </c>
      <c r="C2407" s="104">
        <v>0.0021401409266221644</v>
      </c>
      <c r="D2407" s="80" t="s">
        <v>2188</v>
      </c>
      <c r="E2407" s="80" t="b">
        <v>0</v>
      </c>
      <c r="F2407" s="80" t="b">
        <v>0</v>
      </c>
      <c r="G2407" s="80" t="b">
        <v>0</v>
      </c>
    </row>
    <row r="2408" spans="1:7" ht="15">
      <c r="A2408" s="81" t="s">
        <v>3065</v>
      </c>
      <c r="B2408" s="80">
        <v>2</v>
      </c>
      <c r="C2408" s="104">
        <v>0.0021401409266221644</v>
      </c>
      <c r="D2408" s="80" t="s">
        <v>2188</v>
      </c>
      <c r="E2408" s="80" t="b">
        <v>0</v>
      </c>
      <c r="F2408" s="80" t="b">
        <v>0</v>
      </c>
      <c r="G2408" s="80" t="b">
        <v>0</v>
      </c>
    </row>
    <row r="2409" spans="1:7" ht="15">
      <c r="A2409" s="81" t="s">
        <v>3242</v>
      </c>
      <c r="B2409" s="80">
        <v>2</v>
      </c>
      <c r="C2409" s="104">
        <v>0.0021401409266221644</v>
      </c>
      <c r="D2409" s="80" t="s">
        <v>2188</v>
      </c>
      <c r="E2409" s="80" t="b">
        <v>0</v>
      </c>
      <c r="F2409" s="80" t="b">
        <v>0</v>
      </c>
      <c r="G2409" s="80" t="b">
        <v>0</v>
      </c>
    </row>
    <row r="2410" spans="1:7" ht="15">
      <c r="A2410" s="81" t="s">
        <v>3243</v>
      </c>
      <c r="B2410" s="80">
        <v>2</v>
      </c>
      <c r="C2410" s="104">
        <v>0.001561793192397417</v>
      </c>
      <c r="D2410" s="80" t="s">
        <v>2188</v>
      </c>
      <c r="E2410" s="80" t="b">
        <v>0</v>
      </c>
      <c r="F2410" s="80" t="b">
        <v>0</v>
      </c>
      <c r="G2410" s="80" t="b">
        <v>0</v>
      </c>
    </row>
    <row r="2411" spans="1:7" ht="15">
      <c r="A2411" s="81" t="s">
        <v>2824</v>
      </c>
      <c r="B2411" s="80">
        <v>2</v>
      </c>
      <c r="C2411" s="104">
        <v>0.0021401409266221644</v>
      </c>
      <c r="D2411" s="80" t="s">
        <v>2188</v>
      </c>
      <c r="E2411" s="80" t="b">
        <v>0</v>
      </c>
      <c r="F2411" s="80" t="b">
        <v>0</v>
      </c>
      <c r="G2411" s="80" t="b">
        <v>0</v>
      </c>
    </row>
    <row r="2412" spans="1:7" ht="15">
      <c r="A2412" s="81" t="s">
        <v>2690</v>
      </c>
      <c r="B2412" s="80">
        <v>2</v>
      </c>
      <c r="C2412" s="104">
        <v>0.001561793192397417</v>
      </c>
      <c r="D2412" s="80" t="s">
        <v>2188</v>
      </c>
      <c r="E2412" s="80" t="b">
        <v>0</v>
      </c>
      <c r="F2412" s="80" t="b">
        <v>0</v>
      </c>
      <c r="G2412" s="80" t="b">
        <v>0</v>
      </c>
    </row>
    <row r="2413" spans="1:7" ht="15">
      <c r="A2413" s="81" t="s">
        <v>2289</v>
      </c>
      <c r="B2413" s="80">
        <v>2</v>
      </c>
      <c r="C2413" s="104">
        <v>0.001561793192397417</v>
      </c>
      <c r="D2413" s="80" t="s">
        <v>2188</v>
      </c>
      <c r="E2413" s="80" t="b">
        <v>0</v>
      </c>
      <c r="F2413" s="80" t="b">
        <v>0</v>
      </c>
      <c r="G2413" s="80" t="b">
        <v>0</v>
      </c>
    </row>
    <row r="2414" spans="1:7" ht="15">
      <c r="A2414" s="81" t="s">
        <v>2950</v>
      </c>
      <c r="B2414" s="80">
        <v>2</v>
      </c>
      <c r="C2414" s="104">
        <v>0.001561793192397417</v>
      </c>
      <c r="D2414" s="80" t="s">
        <v>2188</v>
      </c>
      <c r="E2414" s="80" t="b">
        <v>0</v>
      </c>
      <c r="F2414" s="80" t="b">
        <v>0</v>
      </c>
      <c r="G2414" s="80" t="b">
        <v>0</v>
      </c>
    </row>
    <row r="2415" spans="1:7" ht="15">
      <c r="A2415" s="81" t="s">
        <v>2260</v>
      </c>
      <c r="B2415" s="80">
        <v>2</v>
      </c>
      <c r="C2415" s="104">
        <v>0.001561793192397417</v>
      </c>
      <c r="D2415" s="80" t="s">
        <v>2188</v>
      </c>
      <c r="E2415" s="80" t="b">
        <v>0</v>
      </c>
      <c r="F2415" s="80" t="b">
        <v>0</v>
      </c>
      <c r="G2415" s="80" t="b">
        <v>0</v>
      </c>
    </row>
    <row r="2416" spans="1:7" ht="15">
      <c r="A2416" s="81" t="s">
        <v>2995</v>
      </c>
      <c r="B2416" s="80">
        <v>2</v>
      </c>
      <c r="C2416" s="104">
        <v>0.0021401409266221644</v>
      </c>
      <c r="D2416" s="80" t="s">
        <v>2188</v>
      </c>
      <c r="E2416" s="80" t="b">
        <v>0</v>
      </c>
      <c r="F2416" s="80" t="b">
        <v>0</v>
      </c>
      <c r="G2416" s="80" t="b">
        <v>0</v>
      </c>
    </row>
    <row r="2417" spans="1:7" ht="15">
      <c r="A2417" s="81" t="s">
        <v>2907</v>
      </c>
      <c r="B2417" s="80">
        <v>2</v>
      </c>
      <c r="C2417" s="104">
        <v>0.0021401409266221644</v>
      </c>
      <c r="D2417" s="80" t="s">
        <v>2188</v>
      </c>
      <c r="E2417" s="80" t="b">
        <v>0</v>
      </c>
      <c r="F2417" s="80" t="b">
        <v>0</v>
      </c>
      <c r="G2417" s="80" t="b">
        <v>0</v>
      </c>
    </row>
    <row r="2418" spans="1:7" ht="15">
      <c r="A2418" s="81" t="s">
        <v>3013</v>
      </c>
      <c r="B2418" s="80">
        <v>2</v>
      </c>
      <c r="C2418" s="104">
        <v>0.001561793192397417</v>
      </c>
      <c r="D2418" s="80" t="s">
        <v>2188</v>
      </c>
      <c r="E2418" s="80" t="b">
        <v>0</v>
      </c>
      <c r="F2418" s="80" t="b">
        <v>0</v>
      </c>
      <c r="G2418" s="80" t="b">
        <v>0</v>
      </c>
    </row>
    <row r="2419" spans="1:7" ht="15">
      <c r="A2419" s="81" t="s">
        <v>2620</v>
      </c>
      <c r="B2419" s="80">
        <v>2</v>
      </c>
      <c r="C2419" s="104">
        <v>0.0021401409266221644</v>
      </c>
      <c r="D2419" s="80" t="s">
        <v>2188</v>
      </c>
      <c r="E2419" s="80" t="b">
        <v>0</v>
      </c>
      <c r="F2419" s="80" t="b">
        <v>0</v>
      </c>
      <c r="G2419" s="80" t="b">
        <v>0</v>
      </c>
    </row>
    <row r="2420" spans="1:7" ht="15">
      <c r="A2420" s="81" t="s">
        <v>3103</v>
      </c>
      <c r="B2420" s="80">
        <v>2</v>
      </c>
      <c r="C2420" s="104">
        <v>0.001561793192397417</v>
      </c>
      <c r="D2420" s="80" t="s">
        <v>2188</v>
      </c>
      <c r="E2420" s="80" t="b">
        <v>0</v>
      </c>
      <c r="F2420" s="80" t="b">
        <v>0</v>
      </c>
      <c r="G2420" s="80" t="b">
        <v>0</v>
      </c>
    </row>
    <row r="2421" spans="1:7" ht="15">
      <c r="A2421" s="81" t="s">
        <v>2373</v>
      </c>
      <c r="B2421" s="80">
        <v>2</v>
      </c>
      <c r="C2421" s="104">
        <v>0.0021401409266221644</v>
      </c>
      <c r="D2421" s="80" t="s">
        <v>2188</v>
      </c>
      <c r="E2421" s="80" t="b">
        <v>1</v>
      </c>
      <c r="F2421" s="80" t="b">
        <v>0</v>
      </c>
      <c r="G2421" s="80" t="b">
        <v>0</v>
      </c>
    </row>
    <row r="2422" spans="1:7" ht="15">
      <c r="A2422" s="81" t="s">
        <v>3290</v>
      </c>
      <c r="B2422" s="80">
        <v>2</v>
      </c>
      <c r="C2422" s="104">
        <v>0.001561793192397417</v>
      </c>
      <c r="D2422" s="80" t="s">
        <v>2188</v>
      </c>
      <c r="E2422" s="80" t="b">
        <v>0</v>
      </c>
      <c r="F2422" s="80" t="b">
        <v>0</v>
      </c>
      <c r="G2422" s="80" t="b">
        <v>0</v>
      </c>
    </row>
    <row r="2423" spans="1:7" ht="15">
      <c r="A2423" s="81" t="s">
        <v>2363</v>
      </c>
      <c r="B2423" s="80">
        <v>2</v>
      </c>
      <c r="C2423" s="104">
        <v>0.001561793192397417</v>
      </c>
      <c r="D2423" s="80" t="s">
        <v>2188</v>
      </c>
      <c r="E2423" s="80" t="b">
        <v>0</v>
      </c>
      <c r="F2423" s="80" t="b">
        <v>0</v>
      </c>
      <c r="G2423" s="80" t="b">
        <v>0</v>
      </c>
    </row>
    <row r="2424" spans="1:7" ht="15">
      <c r="A2424" s="81" t="s">
        <v>2394</v>
      </c>
      <c r="B2424" s="80">
        <v>2</v>
      </c>
      <c r="C2424" s="104">
        <v>0.001561793192397417</v>
      </c>
      <c r="D2424" s="80" t="s">
        <v>2188</v>
      </c>
      <c r="E2424" s="80" t="b">
        <v>0</v>
      </c>
      <c r="F2424" s="80" t="b">
        <v>0</v>
      </c>
      <c r="G2424" s="80" t="b">
        <v>0</v>
      </c>
    </row>
    <row r="2425" spans="1:7" ht="15">
      <c r="A2425" s="81" t="s">
        <v>2781</v>
      </c>
      <c r="B2425" s="80">
        <v>2</v>
      </c>
      <c r="C2425" s="104">
        <v>0.0021401409266221644</v>
      </c>
      <c r="D2425" s="80" t="s">
        <v>2188</v>
      </c>
      <c r="E2425" s="80" t="b">
        <v>0</v>
      </c>
      <c r="F2425" s="80" t="b">
        <v>0</v>
      </c>
      <c r="G2425" s="80" t="b">
        <v>0</v>
      </c>
    </row>
    <row r="2426" spans="1:7" ht="15">
      <c r="A2426" s="81" t="s">
        <v>2881</v>
      </c>
      <c r="B2426" s="80">
        <v>2</v>
      </c>
      <c r="C2426" s="104">
        <v>0.0021401409266221644</v>
      </c>
      <c r="D2426" s="80" t="s">
        <v>2188</v>
      </c>
      <c r="E2426" s="80" t="b">
        <v>0</v>
      </c>
      <c r="F2426" s="80" t="b">
        <v>0</v>
      </c>
      <c r="G2426" s="80" t="b">
        <v>0</v>
      </c>
    </row>
    <row r="2427" spans="1:7" ht="15">
      <c r="A2427" s="81" t="s">
        <v>2580</v>
      </c>
      <c r="B2427" s="80">
        <v>2</v>
      </c>
      <c r="C2427" s="104">
        <v>0.001561793192397417</v>
      </c>
      <c r="D2427" s="80" t="s">
        <v>2188</v>
      </c>
      <c r="E2427" s="80" t="b">
        <v>0</v>
      </c>
      <c r="F2427" s="80" t="b">
        <v>0</v>
      </c>
      <c r="G2427" s="80" t="b">
        <v>0</v>
      </c>
    </row>
    <row r="2428" spans="1:7" ht="15">
      <c r="A2428" s="81" t="s">
        <v>3298</v>
      </c>
      <c r="B2428" s="80">
        <v>2</v>
      </c>
      <c r="C2428" s="104">
        <v>0.0021401409266221644</v>
      </c>
      <c r="D2428" s="80" t="s">
        <v>2188</v>
      </c>
      <c r="E2428" s="80" t="b">
        <v>0</v>
      </c>
      <c r="F2428" s="80" t="b">
        <v>0</v>
      </c>
      <c r="G2428" s="80" t="b">
        <v>0</v>
      </c>
    </row>
    <row r="2429" spans="1:7" ht="15">
      <c r="A2429" s="81" t="s">
        <v>2949</v>
      </c>
      <c r="B2429" s="80">
        <v>2</v>
      </c>
      <c r="C2429" s="104">
        <v>0.001561793192397417</v>
      </c>
      <c r="D2429" s="80" t="s">
        <v>2188</v>
      </c>
      <c r="E2429" s="80" t="b">
        <v>0</v>
      </c>
      <c r="F2429" s="80" t="b">
        <v>0</v>
      </c>
      <c r="G2429" s="80" t="b">
        <v>0</v>
      </c>
    </row>
    <row r="2430" spans="1:7" ht="15">
      <c r="A2430" s="81" t="s">
        <v>2978</v>
      </c>
      <c r="B2430" s="80">
        <v>2</v>
      </c>
      <c r="C2430" s="104">
        <v>0.001561793192397417</v>
      </c>
      <c r="D2430" s="80" t="s">
        <v>2188</v>
      </c>
      <c r="E2430" s="80" t="b">
        <v>0</v>
      </c>
      <c r="F2430" s="80" t="b">
        <v>0</v>
      </c>
      <c r="G2430" s="80" t="b">
        <v>0</v>
      </c>
    </row>
    <row r="2431" spans="1:7" ht="15">
      <c r="A2431" s="81" t="s">
        <v>3258</v>
      </c>
      <c r="B2431" s="80">
        <v>2</v>
      </c>
      <c r="C2431" s="104">
        <v>0.001561793192397417</v>
      </c>
      <c r="D2431" s="80" t="s">
        <v>2188</v>
      </c>
      <c r="E2431" s="80" t="b">
        <v>0</v>
      </c>
      <c r="F2431" s="80" t="b">
        <v>0</v>
      </c>
      <c r="G2431" s="80" t="b">
        <v>0</v>
      </c>
    </row>
    <row r="2432" spans="1:7" ht="15">
      <c r="A2432" s="81" t="s">
        <v>3247</v>
      </c>
      <c r="B2432" s="80">
        <v>2</v>
      </c>
      <c r="C2432" s="104">
        <v>0.001561793192397417</v>
      </c>
      <c r="D2432" s="80" t="s">
        <v>2188</v>
      </c>
      <c r="E2432" s="80" t="b">
        <v>0</v>
      </c>
      <c r="F2432" s="80" t="b">
        <v>0</v>
      </c>
      <c r="G2432" s="80" t="b">
        <v>0</v>
      </c>
    </row>
    <row r="2433" spans="1:7" ht="15">
      <c r="A2433" s="81" t="s">
        <v>2851</v>
      </c>
      <c r="B2433" s="80">
        <v>2</v>
      </c>
      <c r="C2433" s="104">
        <v>0.001561793192397417</v>
      </c>
      <c r="D2433" s="80" t="s">
        <v>2188</v>
      </c>
      <c r="E2433" s="80" t="b">
        <v>0</v>
      </c>
      <c r="F2433" s="80" t="b">
        <v>0</v>
      </c>
      <c r="G2433" s="80" t="b">
        <v>0</v>
      </c>
    </row>
    <row r="2434" spans="1:7" ht="15">
      <c r="A2434" s="81" t="s">
        <v>3004</v>
      </c>
      <c r="B2434" s="80">
        <v>2</v>
      </c>
      <c r="C2434" s="104">
        <v>0.0021401409266221644</v>
      </c>
      <c r="D2434" s="80" t="s">
        <v>2188</v>
      </c>
      <c r="E2434" s="80" t="b">
        <v>0</v>
      </c>
      <c r="F2434" s="80" t="b">
        <v>0</v>
      </c>
      <c r="G2434" s="80" t="b">
        <v>0</v>
      </c>
    </row>
    <row r="2435" spans="1:7" ht="15">
      <c r="A2435" s="81" t="s">
        <v>2443</v>
      </c>
      <c r="B2435" s="80">
        <v>2</v>
      </c>
      <c r="C2435" s="104">
        <v>0.0021401409266221644</v>
      </c>
      <c r="D2435" s="80" t="s">
        <v>2188</v>
      </c>
      <c r="E2435" s="80" t="b">
        <v>0</v>
      </c>
      <c r="F2435" s="80" t="b">
        <v>0</v>
      </c>
      <c r="G2435" s="80" t="b">
        <v>0</v>
      </c>
    </row>
    <row r="2436" spans="1:7" ht="15">
      <c r="A2436" s="81" t="s">
        <v>3299</v>
      </c>
      <c r="B2436" s="80">
        <v>2</v>
      </c>
      <c r="C2436" s="104">
        <v>0.001561793192397417</v>
      </c>
      <c r="D2436" s="80" t="s">
        <v>2188</v>
      </c>
      <c r="E2436" s="80" t="b">
        <v>0</v>
      </c>
      <c r="F2436" s="80" t="b">
        <v>0</v>
      </c>
      <c r="G2436" s="80" t="b">
        <v>0</v>
      </c>
    </row>
    <row r="2437" spans="1:7" ht="15">
      <c r="A2437" s="81" t="s">
        <v>2406</v>
      </c>
      <c r="B2437" s="80">
        <v>2</v>
      </c>
      <c r="C2437" s="104">
        <v>0.001561793192397417</v>
      </c>
      <c r="D2437" s="80" t="s">
        <v>2188</v>
      </c>
      <c r="E2437" s="80" t="b">
        <v>0</v>
      </c>
      <c r="F2437" s="80" t="b">
        <v>0</v>
      </c>
      <c r="G2437" s="80" t="b">
        <v>0</v>
      </c>
    </row>
    <row r="2438" spans="1:7" ht="15">
      <c r="A2438" s="81" t="s">
        <v>2356</v>
      </c>
      <c r="B2438" s="80">
        <v>2</v>
      </c>
      <c r="C2438" s="104">
        <v>0.001561793192397417</v>
      </c>
      <c r="D2438" s="80" t="s">
        <v>2188</v>
      </c>
      <c r="E2438" s="80" t="b">
        <v>0</v>
      </c>
      <c r="F2438" s="80" t="b">
        <v>0</v>
      </c>
      <c r="G2438" s="80" t="b">
        <v>0</v>
      </c>
    </row>
    <row r="2439" spans="1:7" ht="15">
      <c r="A2439" s="81" t="s">
        <v>2392</v>
      </c>
      <c r="B2439" s="80">
        <v>2</v>
      </c>
      <c r="C2439" s="104">
        <v>0.0021401409266221644</v>
      </c>
      <c r="D2439" s="80" t="s">
        <v>2188</v>
      </c>
      <c r="E2439" s="80" t="b">
        <v>0</v>
      </c>
      <c r="F2439" s="80" t="b">
        <v>0</v>
      </c>
      <c r="G2439" s="80" t="b">
        <v>0</v>
      </c>
    </row>
    <row r="2440" spans="1:7" ht="15">
      <c r="A2440" s="81" t="s">
        <v>2990</v>
      </c>
      <c r="B2440" s="80">
        <v>2</v>
      </c>
      <c r="C2440" s="104">
        <v>0.001561793192397417</v>
      </c>
      <c r="D2440" s="80" t="s">
        <v>2188</v>
      </c>
      <c r="E2440" s="80" t="b">
        <v>0</v>
      </c>
      <c r="F2440" s="80" t="b">
        <v>0</v>
      </c>
      <c r="G2440" s="80" t="b">
        <v>0</v>
      </c>
    </row>
    <row r="2441" spans="1:7" ht="15">
      <c r="A2441" s="81" t="s">
        <v>3300</v>
      </c>
      <c r="B2441" s="80">
        <v>2</v>
      </c>
      <c r="C2441" s="104">
        <v>0.001561793192397417</v>
      </c>
      <c r="D2441" s="80" t="s">
        <v>2188</v>
      </c>
      <c r="E2441" s="80" t="b">
        <v>0</v>
      </c>
      <c r="F2441" s="80" t="b">
        <v>0</v>
      </c>
      <c r="G2441" s="80" t="b">
        <v>0</v>
      </c>
    </row>
    <row r="2442" spans="1:7" ht="15">
      <c r="A2442" s="81" t="s">
        <v>2378</v>
      </c>
      <c r="B2442" s="80">
        <v>2</v>
      </c>
      <c r="C2442" s="104">
        <v>0.001561793192397417</v>
      </c>
      <c r="D2442" s="80" t="s">
        <v>2188</v>
      </c>
      <c r="E2442" s="80" t="b">
        <v>0</v>
      </c>
      <c r="F2442" s="80" t="b">
        <v>1</v>
      </c>
      <c r="G2442" s="80" t="b">
        <v>0</v>
      </c>
    </row>
    <row r="2443" spans="1:7" ht="15">
      <c r="A2443" s="81" t="s">
        <v>2415</v>
      </c>
      <c r="B2443" s="80">
        <v>2</v>
      </c>
      <c r="C2443" s="104">
        <v>0.001561793192397417</v>
      </c>
      <c r="D2443" s="80" t="s">
        <v>2188</v>
      </c>
      <c r="E2443" s="80" t="b">
        <v>0</v>
      </c>
      <c r="F2443" s="80" t="b">
        <v>0</v>
      </c>
      <c r="G2443" s="80" t="b">
        <v>0</v>
      </c>
    </row>
    <row r="2444" spans="1:7" ht="15">
      <c r="A2444" s="81" t="s">
        <v>2374</v>
      </c>
      <c r="B2444" s="80">
        <v>2</v>
      </c>
      <c r="C2444" s="104">
        <v>0.0021401409266221644</v>
      </c>
      <c r="D2444" s="80" t="s">
        <v>2188</v>
      </c>
      <c r="E2444" s="80" t="b">
        <v>0</v>
      </c>
      <c r="F2444" s="80" t="b">
        <v>0</v>
      </c>
      <c r="G2444" s="80" t="b">
        <v>0</v>
      </c>
    </row>
    <row r="2445" spans="1:7" ht="15">
      <c r="A2445" s="81" t="s">
        <v>2301</v>
      </c>
      <c r="B2445" s="80">
        <v>2</v>
      </c>
      <c r="C2445" s="104">
        <v>0.001561793192397417</v>
      </c>
      <c r="D2445" s="80" t="s">
        <v>2188</v>
      </c>
      <c r="E2445" s="80" t="b">
        <v>0</v>
      </c>
      <c r="F2445" s="80" t="b">
        <v>0</v>
      </c>
      <c r="G2445" s="80" t="b">
        <v>0</v>
      </c>
    </row>
    <row r="2446" spans="1:7" ht="15">
      <c r="A2446" s="81" t="s">
        <v>2953</v>
      </c>
      <c r="B2446" s="80">
        <v>2</v>
      </c>
      <c r="C2446" s="104">
        <v>0.0021401409266221644</v>
      </c>
      <c r="D2446" s="80" t="s">
        <v>2188</v>
      </c>
      <c r="E2446" s="80" t="b">
        <v>0</v>
      </c>
      <c r="F2446" s="80" t="b">
        <v>0</v>
      </c>
      <c r="G2446" s="80" t="b">
        <v>0</v>
      </c>
    </row>
    <row r="2447" spans="1:7" ht="15">
      <c r="A2447" s="81" t="s">
        <v>2858</v>
      </c>
      <c r="B2447" s="80">
        <v>2</v>
      </c>
      <c r="C2447" s="104">
        <v>0.0021401409266221644</v>
      </c>
      <c r="D2447" s="80" t="s">
        <v>2188</v>
      </c>
      <c r="E2447" s="80" t="b">
        <v>0</v>
      </c>
      <c r="F2447" s="80" t="b">
        <v>0</v>
      </c>
      <c r="G2447" s="80" t="b">
        <v>0</v>
      </c>
    </row>
    <row r="2448" spans="1:7" ht="15">
      <c r="A2448" s="81" t="s">
        <v>2598</v>
      </c>
      <c r="B2448" s="80">
        <v>2</v>
      </c>
      <c r="C2448" s="104">
        <v>0.001561793192397417</v>
      </c>
      <c r="D2448" s="80" t="s">
        <v>2188</v>
      </c>
      <c r="E2448" s="80" t="b">
        <v>0</v>
      </c>
      <c r="F2448" s="80" t="b">
        <v>1</v>
      </c>
      <c r="G2448" s="80" t="b">
        <v>0</v>
      </c>
    </row>
    <row r="2449" spans="1:7" ht="15">
      <c r="A2449" s="81" t="s">
        <v>2220</v>
      </c>
      <c r="B2449" s="80">
        <v>24</v>
      </c>
      <c r="C2449" s="104">
        <v>0.013741813249106335</v>
      </c>
      <c r="D2449" s="80" t="s">
        <v>2189</v>
      </c>
      <c r="E2449" s="80" t="b">
        <v>0</v>
      </c>
      <c r="F2449" s="80" t="b">
        <v>0</v>
      </c>
      <c r="G2449" s="80" t="b">
        <v>0</v>
      </c>
    </row>
    <row r="2450" spans="1:7" ht="15">
      <c r="A2450" s="81" t="s">
        <v>2214</v>
      </c>
      <c r="B2450" s="80">
        <v>22</v>
      </c>
      <c r="C2450" s="104">
        <v>0.0030676550880248074</v>
      </c>
      <c r="D2450" s="80" t="s">
        <v>2189</v>
      </c>
      <c r="E2450" s="80" t="b">
        <v>0</v>
      </c>
      <c r="F2450" s="80" t="b">
        <v>0</v>
      </c>
      <c r="G2450" s="80" t="b">
        <v>0</v>
      </c>
    </row>
    <row r="2451" spans="1:7" ht="15">
      <c r="A2451" s="81" t="s">
        <v>2213</v>
      </c>
      <c r="B2451" s="80">
        <v>19</v>
      </c>
      <c r="C2451" s="104">
        <v>0</v>
      </c>
      <c r="D2451" s="80" t="s">
        <v>2189</v>
      </c>
      <c r="E2451" s="80" t="b">
        <v>0</v>
      </c>
      <c r="F2451" s="80" t="b">
        <v>0</v>
      </c>
      <c r="G2451" s="80" t="b">
        <v>0</v>
      </c>
    </row>
    <row r="2452" spans="1:7" ht="15">
      <c r="A2452" s="81" t="s">
        <v>2278</v>
      </c>
      <c r="B2452" s="80">
        <v>13</v>
      </c>
      <c r="C2452" s="104">
        <v>0.007443482176599264</v>
      </c>
      <c r="D2452" s="80" t="s">
        <v>2189</v>
      </c>
      <c r="E2452" s="80" t="b">
        <v>0</v>
      </c>
      <c r="F2452" s="80" t="b">
        <v>0</v>
      </c>
      <c r="G2452" s="80" t="b">
        <v>0</v>
      </c>
    </row>
    <row r="2453" spans="1:7" ht="15">
      <c r="A2453" s="81" t="s">
        <v>2219</v>
      </c>
      <c r="B2453" s="80">
        <v>9</v>
      </c>
      <c r="C2453" s="104">
        <v>0.0028728615058233203</v>
      </c>
      <c r="D2453" s="80" t="s">
        <v>2189</v>
      </c>
      <c r="E2453" s="80" t="b">
        <v>0</v>
      </c>
      <c r="F2453" s="80" t="b">
        <v>0</v>
      </c>
      <c r="G2453" s="80" t="b">
        <v>0</v>
      </c>
    </row>
    <row r="2454" spans="1:7" ht="15">
      <c r="A2454" s="81" t="s">
        <v>2243</v>
      </c>
      <c r="B2454" s="80">
        <v>8</v>
      </c>
      <c r="C2454" s="104">
        <v>0.0025536546718429513</v>
      </c>
      <c r="D2454" s="80" t="s">
        <v>2189</v>
      </c>
      <c r="E2454" s="80" t="b">
        <v>0</v>
      </c>
      <c r="F2454" s="80" t="b">
        <v>0</v>
      </c>
      <c r="G2454" s="80" t="b">
        <v>0</v>
      </c>
    </row>
    <row r="2455" spans="1:7" ht="15">
      <c r="A2455" s="81" t="s">
        <v>2279</v>
      </c>
      <c r="B2455" s="80">
        <v>7</v>
      </c>
      <c r="C2455" s="104">
        <v>0.0040080288643226806</v>
      </c>
      <c r="D2455" s="80" t="s">
        <v>2189</v>
      </c>
      <c r="E2455" s="80" t="b">
        <v>0</v>
      </c>
      <c r="F2455" s="80" t="b">
        <v>0</v>
      </c>
      <c r="G2455" s="80" t="b">
        <v>0</v>
      </c>
    </row>
    <row r="2456" spans="1:7" ht="15">
      <c r="A2456" s="81" t="s">
        <v>2232</v>
      </c>
      <c r="B2456" s="80">
        <v>7</v>
      </c>
      <c r="C2456" s="104">
        <v>0.0022344478378625823</v>
      </c>
      <c r="D2456" s="80" t="s">
        <v>2189</v>
      </c>
      <c r="E2456" s="80" t="b">
        <v>0</v>
      </c>
      <c r="F2456" s="80" t="b">
        <v>0</v>
      </c>
      <c r="G2456" s="80" t="b">
        <v>0</v>
      </c>
    </row>
    <row r="2457" spans="1:7" ht="15">
      <c r="A2457" s="81" t="s">
        <v>2324</v>
      </c>
      <c r="B2457" s="80">
        <v>6</v>
      </c>
      <c r="C2457" s="104">
        <v>0.00603427341872822</v>
      </c>
      <c r="D2457" s="80" t="s">
        <v>2189</v>
      </c>
      <c r="E2457" s="80" t="b">
        <v>0</v>
      </c>
      <c r="F2457" s="80" t="b">
        <v>0</v>
      </c>
      <c r="G2457" s="80" t="b">
        <v>0</v>
      </c>
    </row>
    <row r="2458" spans="1:7" ht="15">
      <c r="A2458" s="81" t="s">
        <v>2223</v>
      </c>
      <c r="B2458" s="80">
        <v>6</v>
      </c>
      <c r="C2458" s="104">
        <v>0.0034354533122765837</v>
      </c>
      <c r="D2458" s="80" t="s">
        <v>2189</v>
      </c>
      <c r="E2458" s="80" t="b">
        <v>0</v>
      </c>
      <c r="F2458" s="80" t="b">
        <v>0</v>
      </c>
      <c r="G2458" s="80" t="b">
        <v>0</v>
      </c>
    </row>
    <row r="2459" spans="1:7" ht="15">
      <c r="A2459" s="81" t="s">
        <v>2264</v>
      </c>
      <c r="B2459" s="80">
        <v>6</v>
      </c>
      <c r="C2459" s="104">
        <v>0.0034354533122765837</v>
      </c>
      <c r="D2459" s="80" t="s">
        <v>2189</v>
      </c>
      <c r="E2459" s="80" t="b">
        <v>0</v>
      </c>
      <c r="F2459" s="80" t="b">
        <v>0</v>
      </c>
      <c r="G2459" s="80" t="b">
        <v>0</v>
      </c>
    </row>
    <row r="2460" spans="1:7" ht="15">
      <c r="A2460" s="81" t="s">
        <v>2235</v>
      </c>
      <c r="B2460" s="80">
        <v>5</v>
      </c>
      <c r="C2460" s="104">
        <v>0.0006971943381874563</v>
      </c>
      <c r="D2460" s="80" t="s">
        <v>2189</v>
      </c>
      <c r="E2460" s="80" t="b">
        <v>0</v>
      </c>
      <c r="F2460" s="80" t="b">
        <v>0</v>
      </c>
      <c r="G2460" s="80" t="b">
        <v>0</v>
      </c>
    </row>
    <row r="2461" spans="1:7" ht="15">
      <c r="A2461" s="81" t="s">
        <v>2274</v>
      </c>
      <c r="B2461" s="80">
        <v>5</v>
      </c>
      <c r="C2461" s="104">
        <v>0.0028628777602304864</v>
      </c>
      <c r="D2461" s="80" t="s">
        <v>2189</v>
      </c>
      <c r="E2461" s="80" t="b">
        <v>0</v>
      </c>
      <c r="F2461" s="80" t="b">
        <v>0</v>
      </c>
      <c r="G2461" s="80" t="b">
        <v>0</v>
      </c>
    </row>
    <row r="2462" spans="1:7" ht="15">
      <c r="A2462" s="81" t="s">
        <v>2336</v>
      </c>
      <c r="B2462" s="80">
        <v>5</v>
      </c>
      <c r="C2462" s="104">
        <v>0.0028628777602304864</v>
      </c>
      <c r="D2462" s="80" t="s">
        <v>2189</v>
      </c>
      <c r="E2462" s="80" t="b">
        <v>1</v>
      </c>
      <c r="F2462" s="80" t="b">
        <v>0</v>
      </c>
      <c r="G2462" s="80" t="b">
        <v>0</v>
      </c>
    </row>
    <row r="2463" spans="1:7" ht="15">
      <c r="A2463" s="81" t="s">
        <v>2217</v>
      </c>
      <c r="B2463" s="80">
        <v>4</v>
      </c>
      <c r="C2463" s="104">
        <v>0.0012768273359214757</v>
      </c>
      <c r="D2463" s="80" t="s">
        <v>2189</v>
      </c>
      <c r="E2463" s="80" t="b">
        <v>0</v>
      </c>
      <c r="F2463" s="80" t="b">
        <v>0</v>
      </c>
      <c r="G2463" s="80" t="b">
        <v>0</v>
      </c>
    </row>
    <row r="2464" spans="1:7" ht="15">
      <c r="A2464" s="81" t="s">
        <v>2230</v>
      </c>
      <c r="B2464" s="80">
        <v>4</v>
      </c>
      <c r="C2464" s="104">
        <v>0.0012768273359214757</v>
      </c>
      <c r="D2464" s="80" t="s">
        <v>2189</v>
      </c>
      <c r="E2464" s="80" t="b">
        <v>0</v>
      </c>
      <c r="F2464" s="80" t="b">
        <v>0</v>
      </c>
      <c r="G2464" s="80" t="b">
        <v>0</v>
      </c>
    </row>
    <row r="2465" spans="1:7" ht="15">
      <c r="A2465" s="81" t="s">
        <v>2226</v>
      </c>
      <c r="B2465" s="80">
        <v>4</v>
      </c>
      <c r="C2465" s="104">
        <v>0.002290302208184389</v>
      </c>
      <c r="D2465" s="80" t="s">
        <v>2189</v>
      </c>
      <c r="E2465" s="80" t="b">
        <v>0</v>
      </c>
      <c r="F2465" s="80" t="b">
        <v>0</v>
      </c>
      <c r="G2465" s="80" t="b">
        <v>0</v>
      </c>
    </row>
    <row r="2466" spans="1:7" ht="15">
      <c r="A2466" s="81" t="s">
        <v>2250</v>
      </c>
      <c r="B2466" s="80">
        <v>4</v>
      </c>
      <c r="C2466" s="104">
        <v>0.002290302208184389</v>
      </c>
      <c r="D2466" s="80" t="s">
        <v>2189</v>
      </c>
      <c r="E2466" s="80" t="b">
        <v>0</v>
      </c>
      <c r="F2466" s="80" t="b">
        <v>0</v>
      </c>
      <c r="G2466" s="80" t="b">
        <v>0</v>
      </c>
    </row>
    <row r="2467" spans="1:7" ht="15">
      <c r="A2467" s="81" t="s">
        <v>2474</v>
      </c>
      <c r="B2467" s="80">
        <v>4</v>
      </c>
      <c r="C2467" s="104">
        <v>0.002290302208184389</v>
      </c>
      <c r="D2467" s="80" t="s">
        <v>2189</v>
      </c>
      <c r="E2467" s="80" t="b">
        <v>0</v>
      </c>
      <c r="F2467" s="80" t="b">
        <v>0</v>
      </c>
      <c r="G2467" s="80" t="b">
        <v>0</v>
      </c>
    </row>
    <row r="2468" spans="1:7" ht="15">
      <c r="A2468" s="81" t="s">
        <v>2300</v>
      </c>
      <c r="B2468" s="80">
        <v>4</v>
      </c>
      <c r="C2468" s="104">
        <v>0.002290302208184389</v>
      </c>
      <c r="D2468" s="80" t="s">
        <v>2189</v>
      </c>
      <c r="E2468" s="80" t="b">
        <v>0</v>
      </c>
      <c r="F2468" s="80" t="b">
        <v>0</v>
      </c>
      <c r="G2468" s="80" t="b">
        <v>0</v>
      </c>
    </row>
    <row r="2469" spans="1:7" ht="15">
      <c r="A2469" s="81" t="s">
        <v>2215</v>
      </c>
      <c r="B2469" s="80">
        <v>4</v>
      </c>
      <c r="C2469" s="104">
        <v>0.002290302208184389</v>
      </c>
      <c r="D2469" s="80" t="s">
        <v>2189</v>
      </c>
      <c r="E2469" s="80" t="b">
        <v>0</v>
      </c>
      <c r="F2469" s="80" t="b">
        <v>0</v>
      </c>
      <c r="G2469" s="80" t="b">
        <v>0</v>
      </c>
    </row>
    <row r="2470" spans="1:7" ht="15">
      <c r="A2470" s="81" t="s">
        <v>2231</v>
      </c>
      <c r="B2470" s="80">
        <v>4</v>
      </c>
      <c r="C2470" s="104">
        <v>0.002290302208184389</v>
      </c>
      <c r="D2470" s="80" t="s">
        <v>2189</v>
      </c>
      <c r="E2470" s="80" t="b">
        <v>0</v>
      </c>
      <c r="F2470" s="80" t="b">
        <v>0</v>
      </c>
      <c r="G2470" s="80" t="b">
        <v>0</v>
      </c>
    </row>
    <row r="2471" spans="1:7" ht="15">
      <c r="A2471" s="81" t="s">
        <v>2236</v>
      </c>
      <c r="B2471" s="80">
        <v>4</v>
      </c>
      <c r="C2471" s="104">
        <v>0.0012768273359214757</v>
      </c>
      <c r="D2471" s="80" t="s">
        <v>2189</v>
      </c>
      <c r="E2471" s="80" t="b">
        <v>0</v>
      </c>
      <c r="F2471" s="80" t="b">
        <v>0</v>
      </c>
      <c r="G2471" s="80" t="b">
        <v>0</v>
      </c>
    </row>
    <row r="2472" spans="1:7" ht="15">
      <c r="A2472" s="81" t="s">
        <v>2376</v>
      </c>
      <c r="B2472" s="80">
        <v>4</v>
      </c>
      <c r="C2472" s="104">
        <v>0.004022848945818814</v>
      </c>
      <c r="D2472" s="80" t="s">
        <v>2189</v>
      </c>
      <c r="E2472" s="80" t="b">
        <v>0</v>
      </c>
      <c r="F2472" s="80" t="b">
        <v>0</v>
      </c>
      <c r="G2472" s="80" t="b">
        <v>0</v>
      </c>
    </row>
    <row r="2473" spans="1:7" ht="15">
      <c r="A2473" s="81" t="s">
        <v>2228</v>
      </c>
      <c r="B2473" s="80">
        <v>4</v>
      </c>
      <c r="C2473" s="104">
        <v>0.004022848945818814</v>
      </c>
      <c r="D2473" s="80" t="s">
        <v>2189</v>
      </c>
      <c r="E2473" s="80" t="b">
        <v>0</v>
      </c>
      <c r="F2473" s="80" t="b">
        <v>0</v>
      </c>
      <c r="G2473" s="80" t="b">
        <v>0</v>
      </c>
    </row>
    <row r="2474" spans="1:7" ht="15">
      <c r="A2474" s="81" t="s">
        <v>2216</v>
      </c>
      <c r="B2474" s="80">
        <v>4</v>
      </c>
      <c r="C2474" s="104">
        <v>0.000557755470549965</v>
      </c>
      <c r="D2474" s="80" t="s">
        <v>2189</v>
      </c>
      <c r="E2474" s="80" t="b">
        <v>0</v>
      </c>
      <c r="F2474" s="80" t="b">
        <v>0</v>
      </c>
      <c r="G2474" s="80" t="b">
        <v>0</v>
      </c>
    </row>
    <row r="2475" spans="1:7" ht="15">
      <c r="A2475" s="81" t="s">
        <v>2626</v>
      </c>
      <c r="B2475" s="80">
        <v>4</v>
      </c>
      <c r="C2475" s="104">
        <v>0.004022848945818814</v>
      </c>
      <c r="D2475" s="80" t="s">
        <v>2189</v>
      </c>
      <c r="E2475" s="80" t="b">
        <v>0</v>
      </c>
      <c r="F2475" s="80" t="b">
        <v>0</v>
      </c>
      <c r="G2475" s="80" t="b">
        <v>0</v>
      </c>
    </row>
    <row r="2476" spans="1:7" ht="15">
      <c r="A2476" s="81" t="s">
        <v>2305</v>
      </c>
      <c r="B2476" s="80">
        <v>4</v>
      </c>
      <c r="C2476" s="104">
        <v>0.000557755470549965</v>
      </c>
      <c r="D2476" s="80" t="s">
        <v>2189</v>
      </c>
      <c r="E2476" s="80" t="b">
        <v>0</v>
      </c>
      <c r="F2476" s="80" t="b">
        <v>0</v>
      </c>
      <c r="G2476" s="80" t="b">
        <v>0</v>
      </c>
    </row>
    <row r="2477" spans="1:7" ht="15">
      <c r="A2477" s="81" t="s">
        <v>2283</v>
      </c>
      <c r="B2477" s="80">
        <v>3</v>
      </c>
      <c r="C2477" s="104">
        <v>0.0017177266561382919</v>
      </c>
      <c r="D2477" s="80" t="s">
        <v>2189</v>
      </c>
      <c r="E2477" s="80" t="b">
        <v>0</v>
      </c>
      <c r="F2477" s="80" t="b">
        <v>0</v>
      </c>
      <c r="G2477" s="80" t="b">
        <v>0</v>
      </c>
    </row>
    <row r="2478" spans="1:7" ht="15">
      <c r="A2478" s="81" t="s">
        <v>2304</v>
      </c>
      <c r="B2478" s="80">
        <v>3</v>
      </c>
      <c r="C2478" s="104">
        <v>0.0017177266561382919</v>
      </c>
      <c r="D2478" s="80" t="s">
        <v>2189</v>
      </c>
      <c r="E2478" s="80" t="b">
        <v>0</v>
      </c>
      <c r="F2478" s="80" t="b">
        <v>0</v>
      </c>
      <c r="G2478" s="80" t="b">
        <v>0</v>
      </c>
    </row>
    <row r="2479" spans="1:7" ht="15">
      <c r="A2479" s="81" t="s">
        <v>2322</v>
      </c>
      <c r="B2479" s="80">
        <v>3</v>
      </c>
      <c r="C2479" s="104">
        <v>0.0017177266561382919</v>
      </c>
      <c r="D2479" s="80" t="s">
        <v>2189</v>
      </c>
      <c r="E2479" s="80" t="b">
        <v>0</v>
      </c>
      <c r="F2479" s="80" t="b">
        <v>0</v>
      </c>
      <c r="G2479" s="80" t="b">
        <v>0</v>
      </c>
    </row>
    <row r="2480" spans="1:7" ht="15">
      <c r="A2480" s="81" t="s">
        <v>2309</v>
      </c>
      <c r="B2480" s="80">
        <v>3</v>
      </c>
      <c r="C2480" s="104">
        <v>0.0017177266561382919</v>
      </c>
      <c r="D2480" s="80" t="s">
        <v>2189</v>
      </c>
      <c r="E2480" s="80" t="b">
        <v>0</v>
      </c>
      <c r="F2480" s="80" t="b">
        <v>0</v>
      </c>
      <c r="G2480" s="80" t="b">
        <v>0</v>
      </c>
    </row>
    <row r="2481" spans="1:7" ht="15">
      <c r="A2481" s="81" t="s">
        <v>2221</v>
      </c>
      <c r="B2481" s="80">
        <v>3</v>
      </c>
      <c r="C2481" s="104">
        <v>0.0009576205019411067</v>
      </c>
      <c r="D2481" s="80" t="s">
        <v>2189</v>
      </c>
      <c r="E2481" s="80" t="b">
        <v>0</v>
      </c>
      <c r="F2481" s="80" t="b">
        <v>0</v>
      </c>
      <c r="G2481" s="80" t="b">
        <v>0</v>
      </c>
    </row>
    <row r="2482" spans="1:7" ht="15">
      <c r="A2482" s="81" t="s">
        <v>2237</v>
      </c>
      <c r="B2482" s="80">
        <v>3</v>
      </c>
      <c r="C2482" s="104">
        <v>0.00301713670936411</v>
      </c>
      <c r="D2482" s="80" t="s">
        <v>2189</v>
      </c>
      <c r="E2482" s="80" t="b">
        <v>0</v>
      </c>
      <c r="F2482" s="80" t="b">
        <v>0</v>
      </c>
      <c r="G2482" s="80" t="b">
        <v>0</v>
      </c>
    </row>
    <row r="2483" spans="1:7" ht="15">
      <c r="A2483" s="81" t="s">
        <v>2308</v>
      </c>
      <c r="B2483" s="80">
        <v>3</v>
      </c>
      <c r="C2483" s="104">
        <v>0.0017177266561382919</v>
      </c>
      <c r="D2483" s="80" t="s">
        <v>2189</v>
      </c>
      <c r="E2483" s="80" t="b">
        <v>0</v>
      </c>
      <c r="F2483" s="80" t="b">
        <v>0</v>
      </c>
      <c r="G2483" s="80" t="b">
        <v>0</v>
      </c>
    </row>
    <row r="2484" spans="1:7" ht="15">
      <c r="A2484" s="81" t="s">
        <v>2330</v>
      </c>
      <c r="B2484" s="80">
        <v>3</v>
      </c>
      <c r="C2484" s="104">
        <v>0.00301713670936411</v>
      </c>
      <c r="D2484" s="80" t="s">
        <v>2189</v>
      </c>
      <c r="E2484" s="80" t="b">
        <v>0</v>
      </c>
      <c r="F2484" s="80" t="b">
        <v>0</v>
      </c>
      <c r="G2484" s="80" t="b">
        <v>0</v>
      </c>
    </row>
    <row r="2485" spans="1:7" ht="15">
      <c r="A2485" s="81" t="s">
        <v>2385</v>
      </c>
      <c r="B2485" s="80">
        <v>3</v>
      </c>
      <c r="C2485" s="104">
        <v>0.00301713670936411</v>
      </c>
      <c r="D2485" s="80" t="s">
        <v>2189</v>
      </c>
      <c r="E2485" s="80" t="b">
        <v>0</v>
      </c>
      <c r="F2485" s="80" t="b">
        <v>0</v>
      </c>
      <c r="G2485" s="80" t="b">
        <v>0</v>
      </c>
    </row>
    <row r="2486" spans="1:7" ht="15">
      <c r="A2486" s="81" t="s">
        <v>2282</v>
      </c>
      <c r="B2486" s="80">
        <v>3</v>
      </c>
      <c r="C2486" s="104">
        <v>0.0017177266561382919</v>
      </c>
      <c r="D2486" s="80" t="s">
        <v>2189</v>
      </c>
      <c r="E2486" s="80" t="b">
        <v>0</v>
      </c>
      <c r="F2486" s="80" t="b">
        <v>0</v>
      </c>
      <c r="G2486" s="80" t="b">
        <v>0</v>
      </c>
    </row>
    <row r="2487" spans="1:7" ht="15">
      <c r="A2487" s="81" t="s">
        <v>2439</v>
      </c>
      <c r="B2487" s="80">
        <v>3</v>
      </c>
      <c r="C2487" s="104">
        <v>0.00301713670936411</v>
      </c>
      <c r="D2487" s="80" t="s">
        <v>2189</v>
      </c>
      <c r="E2487" s="80" t="b">
        <v>0</v>
      </c>
      <c r="F2487" s="80" t="b">
        <v>0</v>
      </c>
      <c r="G2487" s="80" t="b">
        <v>0</v>
      </c>
    </row>
    <row r="2488" spans="1:7" ht="15">
      <c r="A2488" s="81" t="s">
        <v>2383</v>
      </c>
      <c r="B2488" s="80">
        <v>3</v>
      </c>
      <c r="C2488" s="104">
        <v>0.00301713670936411</v>
      </c>
      <c r="D2488" s="80" t="s">
        <v>2189</v>
      </c>
      <c r="E2488" s="80" t="b">
        <v>1</v>
      </c>
      <c r="F2488" s="80" t="b">
        <v>0</v>
      </c>
      <c r="G2488" s="80" t="b">
        <v>0</v>
      </c>
    </row>
    <row r="2489" spans="1:7" ht="15">
      <c r="A2489" s="81" t="s">
        <v>2284</v>
      </c>
      <c r="B2489" s="80">
        <v>3</v>
      </c>
      <c r="C2489" s="104">
        <v>0.0017177266561382919</v>
      </c>
      <c r="D2489" s="80" t="s">
        <v>2189</v>
      </c>
      <c r="E2489" s="80" t="b">
        <v>0</v>
      </c>
      <c r="F2489" s="80" t="b">
        <v>0</v>
      </c>
      <c r="G2489" s="80" t="b">
        <v>0</v>
      </c>
    </row>
    <row r="2490" spans="1:7" ht="15">
      <c r="A2490" s="81" t="s">
        <v>2774</v>
      </c>
      <c r="B2490" s="80">
        <v>3</v>
      </c>
      <c r="C2490" s="104">
        <v>0.00301713670936411</v>
      </c>
      <c r="D2490" s="80" t="s">
        <v>2189</v>
      </c>
      <c r="E2490" s="80" t="b">
        <v>0</v>
      </c>
      <c r="F2490" s="80" t="b">
        <v>0</v>
      </c>
      <c r="G2490" s="80" t="b">
        <v>0</v>
      </c>
    </row>
    <row r="2491" spans="1:7" ht="15">
      <c r="A2491" s="81" t="s">
        <v>2321</v>
      </c>
      <c r="B2491" s="80">
        <v>3</v>
      </c>
      <c r="C2491" s="104">
        <v>0.0017177266561382919</v>
      </c>
      <c r="D2491" s="80" t="s">
        <v>2189</v>
      </c>
      <c r="E2491" s="80" t="b">
        <v>0</v>
      </c>
      <c r="F2491" s="80" t="b">
        <v>0</v>
      </c>
      <c r="G2491" s="80" t="b">
        <v>0</v>
      </c>
    </row>
    <row r="2492" spans="1:7" ht="15">
      <c r="A2492" s="81" t="s">
        <v>2242</v>
      </c>
      <c r="B2492" s="80">
        <v>3</v>
      </c>
      <c r="C2492" s="104">
        <v>0.0017177266561382919</v>
      </c>
      <c r="D2492" s="80" t="s">
        <v>2189</v>
      </c>
      <c r="E2492" s="80" t="b">
        <v>0</v>
      </c>
      <c r="F2492" s="80" t="b">
        <v>0</v>
      </c>
      <c r="G2492" s="80" t="b">
        <v>0</v>
      </c>
    </row>
    <row r="2493" spans="1:7" ht="15">
      <c r="A2493" s="81" t="s">
        <v>2234</v>
      </c>
      <c r="B2493" s="80">
        <v>3</v>
      </c>
      <c r="C2493" s="104">
        <v>0.0017177266561382919</v>
      </c>
      <c r="D2493" s="80" t="s">
        <v>2189</v>
      </c>
      <c r="E2493" s="80" t="b">
        <v>0</v>
      </c>
      <c r="F2493" s="80" t="b">
        <v>0</v>
      </c>
      <c r="G2493" s="80" t="b">
        <v>0</v>
      </c>
    </row>
    <row r="2494" spans="1:7" ht="15">
      <c r="A2494" s="81" t="s">
        <v>2417</v>
      </c>
      <c r="B2494" s="80">
        <v>3</v>
      </c>
      <c r="C2494" s="104">
        <v>0.0009576205019411067</v>
      </c>
      <c r="D2494" s="80" t="s">
        <v>2189</v>
      </c>
      <c r="E2494" s="80" t="b">
        <v>0</v>
      </c>
      <c r="F2494" s="80" t="b">
        <v>0</v>
      </c>
      <c r="G2494" s="80" t="b">
        <v>0</v>
      </c>
    </row>
    <row r="2495" spans="1:7" ht="15">
      <c r="A2495" s="81" t="s">
        <v>2295</v>
      </c>
      <c r="B2495" s="80">
        <v>3</v>
      </c>
      <c r="C2495" s="104">
        <v>0.0017177266561382919</v>
      </c>
      <c r="D2495" s="80" t="s">
        <v>2189</v>
      </c>
      <c r="E2495" s="80" t="b">
        <v>0</v>
      </c>
      <c r="F2495" s="80" t="b">
        <v>0</v>
      </c>
      <c r="G2495" s="80" t="b">
        <v>0</v>
      </c>
    </row>
    <row r="2496" spans="1:7" ht="15">
      <c r="A2496" s="81" t="s">
        <v>2426</v>
      </c>
      <c r="B2496" s="80">
        <v>3</v>
      </c>
      <c r="C2496" s="104">
        <v>0.00301713670936411</v>
      </c>
      <c r="D2496" s="80" t="s">
        <v>2189</v>
      </c>
      <c r="E2496" s="80" t="b">
        <v>0</v>
      </c>
      <c r="F2496" s="80" t="b">
        <v>0</v>
      </c>
      <c r="G2496" s="80" t="b">
        <v>0</v>
      </c>
    </row>
    <row r="2497" spans="1:7" ht="15">
      <c r="A2497" s="81" t="s">
        <v>2320</v>
      </c>
      <c r="B2497" s="80">
        <v>3</v>
      </c>
      <c r="C2497" s="104">
        <v>0.00301713670936411</v>
      </c>
      <c r="D2497" s="80" t="s">
        <v>2189</v>
      </c>
      <c r="E2497" s="80" t="b">
        <v>0</v>
      </c>
      <c r="F2497" s="80" t="b">
        <v>0</v>
      </c>
      <c r="G2497" s="80" t="b">
        <v>0</v>
      </c>
    </row>
    <row r="2498" spans="1:7" ht="15">
      <c r="A2498" s="81" t="s">
        <v>2356</v>
      </c>
      <c r="B2498" s="80">
        <v>3</v>
      </c>
      <c r="C2498" s="104">
        <v>0.0017177266561382919</v>
      </c>
      <c r="D2498" s="80" t="s">
        <v>2189</v>
      </c>
      <c r="E2498" s="80" t="b">
        <v>0</v>
      </c>
      <c r="F2498" s="80" t="b">
        <v>0</v>
      </c>
      <c r="G2498" s="80" t="b">
        <v>0</v>
      </c>
    </row>
    <row r="2499" spans="1:7" ht="15">
      <c r="A2499" s="81" t="s">
        <v>2233</v>
      </c>
      <c r="B2499" s="80">
        <v>3</v>
      </c>
      <c r="C2499" s="104">
        <v>0.0009576205019411067</v>
      </c>
      <c r="D2499" s="80" t="s">
        <v>2189</v>
      </c>
      <c r="E2499" s="80" t="b">
        <v>0</v>
      </c>
      <c r="F2499" s="80" t="b">
        <v>0</v>
      </c>
      <c r="G2499" s="80" t="b">
        <v>0</v>
      </c>
    </row>
    <row r="2500" spans="1:7" ht="15">
      <c r="A2500" s="81" t="s">
        <v>2261</v>
      </c>
      <c r="B2500" s="80">
        <v>3</v>
      </c>
      <c r="C2500" s="104">
        <v>0.0017177266561382919</v>
      </c>
      <c r="D2500" s="80" t="s">
        <v>2189</v>
      </c>
      <c r="E2500" s="80" t="b">
        <v>1</v>
      </c>
      <c r="F2500" s="80" t="b">
        <v>0</v>
      </c>
      <c r="G2500" s="80" t="b">
        <v>0</v>
      </c>
    </row>
    <row r="2501" spans="1:7" ht="15">
      <c r="A2501" s="81" t="s">
        <v>3033</v>
      </c>
      <c r="B2501" s="80">
        <v>2</v>
      </c>
      <c r="C2501" s="104">
        <v>0.002011424472909407</v>
      </c>
      <c r="D2501" s="80" t="s">
        <v>2189</v>
      </c>
      <c r="E2501" s="80" t="b">
        <v>0</v>
      </c>
      <c r="F2501" s="80" t="b">
        <v>0</v>
      </c>
      <c r="G2501" s="80" t="b">
        <v>0</v>
      </c>
    </row>
    <row r="2502" spans="1:7" ht="15">
      <c r="A2502" s="81" t="s">
        <v>2347</v>
      </c>
      <c r="B2502" s="80">
        <v>2</v>
      </c>
      <c r="C2502" s="104">
        <v>0.002011424472909407</v>
      </c>
      <c r="D2502" s="80" t="s">
        <v>2189</v>
      </c>
      <c r="E2502" s="80" t="b">
        <v>0</v>
      </c>
      <c r="F2502" s="80" t="b">
        <v>0</v>
      </c>
      <c r="G2502" s="80" t="b">
        <v>0</v>
      </c>
    </row>
    <row r="2503" spans="1:7" ht="15">
      <c r="A2503" s="81" t="s">
        <v>2317</v>
      </c>
      <c r="B2503" s="80">
        <v>2</v>
      </c>
      <c r="C2503" s="104">
        <v>0.002011424472909407</v>
      </c>
      <c r="D2503" s="80" t="s">
        <v>2189</v>
      </c>
      <c r="E2503" s="80" t="b">
        <v>0</v>
      </c>
      <c r="F2503" s="80" t="b">
        <v>0</v>
      </c>
      <c r="G2503" s="80" t="b">
        <v>0</v>
      </c>
    </row>
    <row r="2504" spans="1:7" ht="15">
      <c r="A2504" s="81" t="s">
        <v>2397</v>
      </c>
      <c r="B2504" s="80">
        <v>2</v>
      </c>
      <c r="C2504" s="104">
        <v>0.0011451511040921946</v>
      </c>
      <c r="D2504" s="80" t="s">
        <v>2189</v>
      </c>
      <c r="E2504" s="80" t="b">
        <v>0</v>
      </c>
      <c r="F2504" s="80" t="b">
        <v>0</v>
      </c>
      <c r="G2504" s="80" t="b">
        <v>0</v>
      </c>
    </row>
    <row r="2505" spans="1:7" ht="15">
      <c r="A2505" s="81" t="s">
        <v>3324</v>
      </c>
      <c r="B2505" s="80">
        <v>2</v>
      </c>
      <c r="C2505" s="104">
        <v>0.002011424472909407</v>
      </c>
      <c r="D2505" s="80" t="s">
        <v>2189</v>
      </c>
      <c r="E2505" s="80" t="b">
        <v>0</v>
      </c>
      <c r="F2505" s="80" t="b">
        <v>0</v>
      </c>
      <c r="G2505" s="80" t="b">
        <v>0</v>
      </c>
    </row>
    <row r="2506" spans="1:7" ht="15">
      <c r="A2506" s="81" t="s">
        <v>2294</v>
      </c>
      <c r="B2506" s="80">
        <v>2</v>
      </c>
      <c r="C2506" s="104">
        <v>0.0011451511040921946</v>
      </c>
      <c r="D2506" s="80" t="s">
        <v>2189</v>
      </c>
      <c r="E2506" s="80" t="b">
        <v>0</v>
      </c>
      <c r="F2506" s="80" t="b">
        <v>0</v>
      </c>
      <c r="G2506" s="80" t="b">
        <v>0</v>
      </c>
    </row>
    <row r="2507" spans="1:7" ht="15">
      <c r="A2507" s="81" t="s">
        <v>2291</v>
      </c>
      <c r="B2507" s="80">
        <v>2</v>
      </c>
      <c r="C2507" s="104">
        <v>0.002011424472909407</v>
      </c>
      <c r="D2507" s="80" t="s">
        <v>2189</v>
      </c>
      <c r="E2507" s="80" t="b">
        <v>0</v>
      </c>
      <c r="F2507" s="80" t="b">
        <v>0</v>
      </c>
      <c r="G2507" s="80" t="b">
        <v>0</v>
      </c>
    </row>
    <row r="2508" spans="1:7" ht="15">
      <c r="A2508" s="81" t="s">
        <v>2249</v>
      </c>
      <c r="B2508" s="80">
        <v>2</v>
      </c>
      <c r="C2508" s="104">
        <v>0.0011451511040921946</v>
      </c>
      <c r="D2508" s="80" t="s">
        <v>2189</v>
      </c>
      <c r="E2508" s="80" t="b">
        <v>0</v>
      </c>
      <c r="F2508" s="80" t="b">
        <v>0</v>
      </c>
      <c r="G2508" s="80" t="b">
        <v>0</v>
      </c>
    </row>
    <row r="2509" spans="1:7" ht="15">
      <c r="A2509" s="81" t="s">
        <v>2349</v>
      </c>
      <c r="B2509" s="80">
        <v>2</v>
      </c>
      <c r="C2509" s="104">
        <v>0.002011424472909407</v>
      </c>
      <c r="D2509" s="80" t="s">
        <v>2189</v>
      </c>
      <c r="E2509" s="80" t="b">
        <v>0</v>
      </c>
      <c r="F2509" s="80" t="b">
        <v>0</v>
      </c>
      <c r="G2509" s="80" t="b">
        <v>0</v>
      </c>
    </row>
    <row r="2510" spans="1:7" ht="15">
      <c r="A2510" s="81" t="s">
        <v>2678</v>
      </c>
      <c r="B2510" s="80">
        <v>2</v>
      </c>
      <c r="C2510" s="104">
        <v>0.0011451511040921946</v>
      </c>
      <c r="D2510" s="80" t="s">
        <v>2189</v>
      </c>
      <c r="E2510" s="80" t="b">
        <v>0</v>
      </c>
      <c r="F2510" s="80" t="b">
        <v>0</v>
      </c>
      <c r="G2510" s="80" t="b">
        <v>0</v>
      </c>
    </row>
    <row r="2511" spans="1:7" ht="15">
      <c r="A2511" s="81" t="s">
        <v>2757</v>
      </c>
      <c r="B2511" s="80">
        <v>2</v>
      </c>
      <c r="C2511" s="104">
        <v>0.002011424472909407</v>
      </c>
      <c r="D2511" s="80" t="s">
        <v>2189</v>
      </c>
      <c r="E2511" s="80" t="b">
        <v>0</v>
      </c>
      <c r="F2511" s="80" t="b">
        <v>0</v>
      </c>
      <c r="G2511" s="80" t="b">
        <v>0</v>
      </c>
    </row>
    <row r="2512" spans="1:7" ht="15">
      <c r="A2512" s="81" t="s">
        <v>2268</v>
      </c>
      <c r="B2512" s="80">
        <v>2</v>
      </c>
      <c r="C2512" s="104">
        <v>0.0011451511040921946</v>
      </c>
      <c r="D2512" s="80" t="s">
        <v>2189</v>
      </c>
      <c r="E2512" s="80" t="b">
        <v>0</v>
      </c>
      <c r="F2512" s="80" t="b">
        <v>0</v>
      </c>
      <c r="G2512" s="80" t="b">
        <v>0</v>
      </c>
    </row>
    <row r="2513" spans="1:7" ht="15">
      <c r="A2513" s="81" t="s">
        <v>2307</v>
      </c>
      <c r="B2513" s="80">
        <v>2</v>
      </c>
      <c r="C2513" s="104">
        <v>0.0011451511040921946</v>
      </c>
      <c r="D2513" s="80" t="s">
        <v>2189</v>
      </c>
      <c r="E2513" s="80" t="b">
        <v>0</v>
      </c>
      <c r="F2513" s="80" t="b">
        <v>0</v>
      </c>
      <c r="G2513" s="80" t="b">
        <v>0</v>
      </c>
    </row>
    <row r="2514" spans="1:7" ht="15">
      <c r="A2514" s="81" t="s">
        <v>2251</v>
      </c>
      <c r="B2514" s="80">
        <v>2</v>
      </c>
      <c r="C2514" s="104">
        <v>0.002011424472909407</v>
      </c>
      <c r="D2514" s="80" t="s">
        <v>2189</v>
      </c>
      <c r="E2514" s="80" t="b">
        <v>0</v>
      </c>
      <c r="F2514" s="80" t="b">
        <v>0</v>
      </c>
      <c r="G2514" s="80" t="b">
        <v>0</v>
      </c>
    </row>
    <row r="2515" spans="1:7" ht="15">
      <c r="A2515" s="81" t="s">
        <v>2269</v>
      </c>
      <c r="B2515" s="80">
        <v>2</v>
      </c>
      <c r="C2515" s="104">
        <v>0.002011424472909407</v>
      </c>
      <c r="D2515" s="80" t="s">
        <v>2189</v>
      </c>
      <c r="E2515" s="80" t="b">
        <v>0</v>
      </c>
      <c r="F2515" s="80" t="b">
        <v>0</v>
      </c>
      <c r="G2515" s="80" t="b">
        <v>0</v>
      </c>
    </row>
    <row r="2516" spans="1:7" ht="15">
      <c r="A2516" s="81" t="s">
        <v>2596</v>
      </c>
      <c r="B2516" s="80">
        <v>2</v>
      </c>
      <c r="C2516" s="104">
        <v>0.002011424472909407</v>
      </c>
      <c r="D2516" s="80" t="s">
        <v>2189</v>
      </c>
      <c r="E2516" s="80" t="b">
        <v>0</v>
      </c>
      <c r="F2516" s="80" t="b">
        <v>0</v>
      </c>
      <c r="G2516" s="80" t="b">
        <v>0</v>
      </c>
    </row>
    <row r="2517" spans="1:7" ht="15">
      <c r="A2517" s="81" t="s">
        <v>2218</v>
      </c>
      <c r="B2517" s="80">
        <v>2</v>
      </c>
      <c r="C2517" s="104">
        <v>0.002011424472909407</v>
      </c>
      <c r="D2517" s="80" t="s">
        <v>2189</v>
      </c>
      <c r="E2517" s="80" t="b">
        <v>0</v>
      </c>
      <c r="F2517" s="80" t="b">
        <v>0</v>
      </c>
      <c r="G2517" s="80" t="b">
        <v>0</v>
      </c>
    </row>
    <row r="2518" spans="1:7" ht="15">
      <c r="A2518" s="81" t="s">
        <v>2292</v>
      </c>
      <c r="B2518" s="80">
        <v>2</v>
      </c>
      <c r="C2518" s="104">
        <v>0.0011451511040921946</v>
      </c>
      <c r="D2518" s="80" t="s">
        <v>2189</v>
      </c>
      <c r="E2518" s="80" t="b">
        <v>0</v>
      </c>
      <c r="F2518" s="80" t="b">
        <v>0</v>
      </c>
      <c r="G2518" s="80" t="b">
        <v>0</v>
      </c>
    </row>
    <row r="2519" spans="1:7" ht="15">
      <c r="A2519" s="81" t="s">
        <v>2475</v>
      </c>
      <c r="B2519" s="80">
        <v>2</v>
      </c>
      <c r="C2519" s="104">
        <v>0.0011451511040921946</v>
      </c>
      <c r="D2519" s="80" t="s">
        <v>2189</v>
      </c>
      <c r="E2519" s="80" t="b">
        <v>0</v>
      </c>
      <c r="F2519" s="80" t="b">
        <v>0</v>
      </c>
      <c r="G2519" s="80" t="b">
        <v>0</v>
      </c>
    </row>
    <row r="2520" spans="1:7" ht="15">
      <c r="A2520" s="81" t="s">
        <v>2362</v>
      </c>
      <c r="B2520" s="80">
        <v>2</v>
      </c>
      <c r="C2520" s="104">
        <v>0.002011424472909407</v>
      </c>
      <c r="D2520" s="80" t="s">
        <v>2189</v>
      </c>
      <c r="E2520" s="80" t="b">
        <v>1</v>
      </c>
      <c r="F2520" s="80" t="b">
        <v>0</v>
      </c>
      <c r="G2520" s="80" t="b">
        <v>0</v>
      </c>
    </row>
    <row r="2521" spans="1:7" ht="15">
      <c r="A2521" s="81" t="s">
        <v>3233</v>
      </c>
      <c r="B2521" s="80">
        <v>2</v>
      </c>
      <c r="C2521" s="104">
        <v>0.0011451511040921946</v>
      </c>
      <c r="D2521" s="80" t="s">
        <v>2189</v>
      </c>
      <c r="E2521" s="80" t="b">
        <v>0</v>
      </c>
      <c r="F2521" s="80" t="b">
        <v>1</v>
      </c>
      <c r="G2521" s="80" t="b">
        <v>0</v>
      </c>
    </row>
    <row r="2522" spans="1:7" ht="15">
      <c r="A2522" s="81" t="s">
        <v>2423</v>
      </c>
      <c r="B2522" s="80">
        <v>2</v>
      </c>
      <c r="C2522" s="104">
        <v>0.002011424472909407</v>
      </c>
      <c r="D2522" s="80" t="s">
        <v>2189</v>
      </c>
      <c r="E2522" s="80" t="b">
        <v>0</v>
      </c>
      <c r="F2522" s="80" t="b">
        <v>0</v>
      </c>
      <c r="G2522" s="80" t="b">
        <v>0</v>
      </c>
    </row>
    <row r="2523" spans="1:7" ht="15">
      <c r="A2523" s="81" t="s">
        <v>3227</v>
      </c>
      <c r="B2523" s="80">
        <v>2</v>
      </c>
      <c r="C2523" s="104">
        <v>0.002011424472909407</v>
      </c>
      <c r="D2523" s="80" t="s">
        <v>2189</v>
      </c>
      <c r="E2523" s="80" t="b">
        <v>0</v>
      </c>
      <c r="F2523" s="80" t="b">
        <v>0</v>
      </c>
      <c r="G2523" s="80" t="b">
        <v>0</v>
      </c>
    </row>
    <row r="2524" spans="1:7" ht="15">
      <c r="A2524" s="81" t="s">
        <v>2346</v>
      </c>
      <c r="B2524" s="80">
        <v>2</v>
      </c>
      <c r="C2524" s="104">
        <v>0.002011424472909407</v>
      </c>
      <c r="D2524" s="80" t="s">
        <v>2189</v>
      </c>
      <c r="E2524" s="80" t="b">
        <v>0</v>
      </c>
      <c r="F2524" s="80" t="b">
        <v>0</v>
      </c>
      <c r="G2524" s="80" t="b">
        <v>0</v>
      </c>
    </row>
    <row r="2525" spans="1:7" ht="15">
      <c r="A2525" s="81" t="s">
        <v>2889</v>
      </c>
      <c r="B2525" s="80">
        <v>2</v>
      </c>
      <c r="C2525" s="104">
        <v>0.0011451511040921946</v>
      </c>
      <c r="D2525" s="80" t="s">
        <v>2189</v>
      </c>
      <c r="E2525" s="80" t="b">
        <v>0</v>
      </c>
      <c r="F2525" s="80" t="b">
        <v>0</v>
      </c>
      <c r="G2525" s="80" t="b">
        <v>0</v>
      </c>
    </row>
    <row r="2526" spans="1:7" ht="15">
      <c r="A2526" s="81" t="s">
        <v>2425</v>
      </c>
      <c r="B2526" s="80">
        <v>2</v>
      </c>
      <c r="C2526" s="104">
        <v>0.0011451511040921946</v>
      </c>
      <c r="D2526" s="80" t="s">
        <v>2189</v>
      </c>
      <c r="E2526" s="80" t="b">
        <v>0</v>
      </c>
      <c r="F2526" s="80" t="b">
        <v>0</v>
      </c>
      <c r="G2526" s="80" t="b">
        <v>0</v>
      </c>
    </row>
    <row r="2527" spans="1:7" ht="15">
      <c r="A2527" s="81" t="s">
        <v>2704</v>
      </c>
      <c r="B2527" s="80">
        <v>2</v>
      </c>
      <c r="C2527" s="104">
        <v>0.002011424472909407</v>
      </c>
      <c r="D2527" s="80" t="s">
        <v>2189</v>
      </c>
      <c r="E2527" s="80" t="b">
        <v>0</v>
      </c>
      <c r="F2527" s="80" t="b">
        <v>0</v>
      </c>
      <c r="G2527" s="80" t="b">
        <v>0</v>
      </c>
    </row>
    <row r="2528" spans="1:7" ht="15">
      <c r="A2528" s="81" t="s">
        <v>2956</v>
      </c>
      <c r="B2528" s="80">
        <v>2</v>
      </c>
      <c r="C2528" s="104">
        <v>0.002011424472909407</v>
      </c>
      <c r="D2528" s="80" t="s">
        <v>2189</v>
      </c>
      <c r="E2528" s="80" t="b">
        <v>0</v>
      </c>
      <c r="F2528" s="80" t="b">
        <v>0</v>
      </c>
      <c r="G2528" s="80" t="b">
        <v>0</v>
      </c>
    </row>
    <row r="2529" spans="1:7" ht="15">
      <c r="A2529" s="81" t="s">
        <v>2823</v>
      </c>
      <c r="B2529" s="80">
        <v>2</v>
      </c>
      <c r="C2529" s="104">
        <v>0.0011451511040921946</v>
      </c>
      <c r="D2529" s="80" t="s">
        <v>2189</v>
      </c>
      <c r="E2529" s="80" t="b">
        <v>1</v>
      </c>
      <c r="F2529" s="80" t="b">
        <v>0</v>
      </c>
      <c r="G2529" s="80" t="b">
        <v>0</v>
      </c>
    </row>
    <row r="2530" spans="1:7" ht="15">
      <c r="A2530" s="81" t="s">
        <v>2318</v>
      </c>
      <c r="B2530" s="80">
        <v>2</v>
      </c>
      <c r="C2530" s="104">
        <v>0.0011451511040921946</v>
      </c>
      <c r="D2530" s="80" t="s">
        <v>2189</v>
      </c>
      <c r="E2530" s="80" t="b">
        <v>0</v>
      </c>
      <c r="F2530" s="80" t="b">
        <v>0</v>
      </c>
      <c r="G2530" s="80" t="b">
        <v>0</v>
      </c>
    </row>
    <row r="2531" spans="1:7" ht="15">
      <c r="A2531" s="81" t="s">
        <v>2335</v>
      </c>
      <c r="B2531" s="80">
        <v>2</v>
      </c>
      <c r="C2531" s="104">
        <v>0.002011424472909407</v>
      </c>
      <c r="D2531" s="80" t="s">
        <v>2189</v>
      </c>
      <c r="E2531" s="80" t="b">
        <v>0</v>
      </c>
      <c r="F2531" s="80" t="b">
        <v>0</v>
      </c>
      <c r="G2531" s="80" t="b">
        <v>0</v>
      </c>
    </row>
    <row r="2532" spans="1:7" ht="15">
      <c r="A2532" s="81" t="s">
        <v>2746</v>
      </c>
      <c r="B2532" s="80">
        <v>2</v>
      </c>
      <c r="C2532" s="104">
        <v>0.002011424472909407</v>
      </c>
      <c r="D2532" s="80" t="s">
        <v>2189</v>
      </c>
      <c r="E2532" s="80" t="b">
        <v>0</v>
      </c>
      <c r="F2532" s="80" t="b">
        <v>0</v>
      </c>
      <c r="G2532" s="80" t="b">
        <v>0</v>
      </c>
    </row>
    <row r="2533" spans="1:7" ht="15">
      <c r="A2533" s="81" t="s">
        <v>2267</v>
      </c>
      <c r="B2533" s="80">
        <v>2</v>
      </c>
      <c r="C2533" s="104">
        <v>0.002011424472909407</v>
      </c>
      <c r="D2533" s="80" t="s">
        <v>2189</v>
      </c>
      <c r="E2533" s="80" t="b">
        <v>0</v>
      </c>
      <c r="F2533" s="80" t="b">
        <v>0</v>
      </c>
      <c r="G2533" s="80" t="b">
        <v>0</v>
      </c>
    </row>
    <row r="2534" spans="1:7" ht="15">
      <c r="A2534" s="81" t="s">
        <v>2856</v>
      </c>
      <c r="B2534" s="80">
        <v>2</v>
      </c>
      <c r="C2534" s="104">
        <v>0.002011424472909407</v>
      </c>
      <c r="D2534" s="80" t="s">
        <v>2189</v>
      </c>
      <c r="E2534" s="80" t="b">
        <v>0</v>
      </c>
      <c r="F2534" s="80" t="b">
        <v>0</v>
      </c>
      <c r="G2534" s="80" t="b">
        <v>0</v>
      </c>
    </row>
    <row r="2535" spans="1:7" ht="15">
      <c r="A2535" s="81" t="s">
        <v>3319</v>
      </c>
      <c r="B2535" s="80">
        <v>2</v>
      </c>
      <c r="C2535" s="104">
        <v>0.002011424472909407</v>
      </c>
      <c r="D2535" s="80" t="s">
        <v>2189</v>
      </c>
      <c r="E2535" s="80" t="b">
        <v>0</v>
      </c>
      <c r="F2535" s="80" t="b">
        <v>0</v>
      </c>
      <c r="G2535" s="80" t="b">
        <v>0</v>
      </c>
    </row>
    <row r="2536" spans="1:7" ht="15">
      <c r="A2536" s="81" t="s">
        <v>3281</v>
      </c>
      <c r="B2536" s="80">
        <v>2</v>
      </c>
      <c r="C2536" s="104">
        <v>0.002011424472909407</v>
      </c>
      <c r="D2536" s="80" t="s">
        <v>2189</v>
      </c>
      <c r="E2536" s="80" t="b">
        <v>0</v>
      </c>
      <c r="F2536" s="80" t="b">
        <v>0</v>
      </c>
      <c r="G2536" s="80" t="b">
        <v>0</v>
      </c>
    </row>
    <row r="2537" spans="1:7" ht="15">
      <c r="A2537" s="81" t="s">
        <v>3079</v>
      </c>
      <c r="B2537" s="80">
        <v>2</v>
      </c>
      <c r="C2537" s="104">
        <v>0.002011424472909407</v>
      </c>
      <c r="D2537" s="80" t="s">
        <v>2189</v>
      </c>
      <c r="E2537" s="80" t="b">
        <v>0</v>
      </c>
      <c r="F2537" s="80" t="b">
        <v>0</v>
      </c>
      <c r="G2537" s="80" t="b">
        <v>0</v>
      </c>
    </row>
    <row r="2538" spans="1:7" ht="15">
      <c r="A2538" s="81" t="s">
        <v>2434</v>
      </c>
      <c r="B2538" s="80">
        <v>2</v>
      </c>
      <c r="C2538" s="104">
        <v>0.0011451511040921946</v>
      </c>
      <c r="D2538" s="80" t="s">
        <v>2189</v>
      </c>
      <c r="E2538" s="80" t="b">
        <v>0</v>
      </c>
      <c r="F2538" s="80" t="b">
        <v>0</v>
      </c>
      <c r="G2538" s="80" t="b">
        <v>0</v>
      </c>
    </row>
    <row r="2539" spans="1:7" ht="15">
      <c r="A2539" s="81" t="s">
        <v>2614</v>
      </c>
      <c r="B2539" s="80">
        <v>2</v>
      </c>
      <c r="C2539" s="104">
        <v>0.002011424472909407</v>
      </c>
      <c r="D2539" s="80" t="s">
        <v>2189</v>
      </c>
      <c r="E2539" s="80" t="b">
        <v>0</v>
      </c>
      <c r="F2539" s="80" t="b">
        <v>0</v>
      </c>
      <c r="G2539" s="80" t="b">
        <v>0</v>
      </c>
    </row>
    <row r="2540" spans="1:7" ht="15">
      <c r="A2540" s="81" t="s">
        <v>2771</v>
      </c>
      <c r="B2540" s="80">
        <v>2</v>
      </c>
      <c r="C2540" s="104">
        <v>0.002011424472909407</v>
      </c>
      <c r="D2540" s="80" t="s">
        <v>2189</v>
      </c>
      <c r="E2540" s="80" t="b">
        <v>0</v>
      </c>
      <c r="F2540" s="80" t="b">
        <v>0</v>
      </c>
      <c r="G2540" s="80" t="b">
        <v>0</v>
      </c>
    </row>
    <row r="2541" spans="1:7" ht="15">
      <c r="A2541" s="81" t="s">
        <v>2256</v>
      </c>
      <c r="B2541" s="80">
        <v>2</v>
      </c>
      <c r="C2541" s="104">
        <v>0.0011451511040921946</v>
      </c>
      <c r="D2541" s="80" t="s">
        <v>2189</v>
      </c>
      <c r="E2541" s="80" t="b">
        <v>0</v>
      </c>
      <c r="F2541" s="80" t="b">
        <v>0</v>
      </c>
      <c r="G2541" s="80" t="b">
        <v>0</v>
      </c>
    </row>
    <row r="2542" spans="1:7" ht="15">
      <c r="A2542" s="81" t="s">
        <v>2472</v>
      </c>
      <c r="B2542" s="80">
        <v>2</v>
      </c>
      <c r="C2542" s="104">
        <v>0.0011451511040921946</v>
      </c>
      <c r="D2542" s="80" t="s">
        <v>2189</v>
      </c>
      <c r="E2542" s="80" t="b">
        <v>0</v>
      </c>
      <c r="F2542" s="80" t="b">
        <v>0</v>
      </c>
      <c r="G2542" s="80" t="b">
        <v>0</v>
      </c>
    </row>
    <row r="2543" spans="1:7" ht="15">
      <c r="A2543" s="81" t="s">
        <v>2414</v>
      </c>
      <c r="B2543" s="80">
        <v>2</v>
      </c>
      <c r="C2543" s="104">
        <v>0.0011451511040921946</v>
      </c>
      <c r="D2543" s="80" t="s">
        <v>2189</v>
      </c>
      <c r="E2543" s="80" t="b">
        <v>0</v>
      </c>
      <c r="F2543" s="80" t="b">
        <v>0</v>
      </c>
      <c r="G2543" s="80" t="b">
        <v>0</v>
      </c>
    </row>
    <row r="2544" spans="1:7" ht="15">
      <c r="A2544" s="81" t="s">
        <v>2341</v>
      </c>
      <c r="B2544" s="80">
        <v>2</v>
      </c>
      <c r="C2544" s="104">
        <v>0.002011424472909407</v>
      </c>
      <c r="D2544" s="80" t="s">
        <v>2189</v>
      </c>
      <c r="E2544" s="80" t="b">
        <v>0</v>
      </c>
      <c r="F2544" s="80" t="b">
        <v>0</v>
      </c>
      <c r="G2544" s="80" t="b">
        <v>0</v>
      </c>
    </row>
    <row r="2545" spans="1:7" ht="15">
      <c r="A2545" s="81" t="s">
        <v>2389</v>
      </c>
      <c r="B2545" s="80">
        <v>2</v>
      </c>
      <c r="C2545" s="104">
        <v>0.0011451511040921946</v>
      </c>
      <c r="D2545" s="80" t="s">
        <v>2189</v>
      </c>
      <c r="E2545" s="80" t="b">
        <v>0</v>
      </c>
      <c r="F2545" s="80" t="b">
        <v>0</v>
      </c>
      <c r="G2545" s="80" t="b">
        <v>0</v>
      </c>
    </row>
    <row r="2546" spans="1:7" ht="15">
      <c r="A2546" s="81" t="s">
        <v>3236</v>
      </c>
      <c r="B2546" s="80">
        <v>2</v>
      </c>
      <c r="C2546" s="104">
        <v>0.002011424472909407</v>
      </c>
      <c r="D2546" s="80" t="s">
        <v>2189</v>
      </c>
      <c r="E2546" s="80" t="b">
        <v>0</v>
      </c>
      <c r="F2546" s="80" t="b">
        <v>0</v>
      </c>
      <c r="G2546" s="80" t="b">
        <v>0</v>
      </c>
    </row>
    <row r="2547" spans="1:7" ht="15">
      <c r="A2547" s="81" t="s">
        <v>2940</v>
      </c>
      <c r="B2547" s="80">
        <v>2</v>
      </c>
      <c r="C2547" s="104">
        <v>0.002011424472909407</v>
      </c>
      <c r="D2547" s="80" t="s">
        <v>2189</v>
      </c>
      <c r="E2547" s="80" t="b">
        <v>0</v>
      </c>
      <c r="F2547" s="80" t="b">
        <v>0</v>
      </c>
      <c r="G2547" s="80" t="b">
        <v>0</v>
      </c>
    </row>
    <row r="2548" spans="1:7" ht="15">
      <c r="A2548" s="81" t="s">
        <v>2298</v>
      </c>
      <c r="B2548" s="80">
        <v>2</v>
      </c>
      <c r="C2548" s="104">
        <v>0.0011451511040921946</v>
      </c>
      <c r="D2548" s="80" t="s">
        <v>2189</v>
      </c>
      <c r="E2548" s="80" t="b">
        <v>0</v>
      </c>
      <c r="F2548" s="80" t="b">
        <v>0</v>
      </c>
      <c r="G2548" s="80" t="b">
        <v>0</v>
      </c>
    </row>
    <row r="2549" spans="1:7" ht="15">
      <c r="A2549" s="81" t="s">
        <v>2600</v>
      </c>
      <c r="B2549" s="80">
        <v>2</v>
      </c>
      <c r="C2549" s="104">
        <v>0.0011451511040921946</v>
      </c>
      <c r="D2549" s="80" t="s">
        <v>2189</v>
      </c>
      <c r="E2549" s="80" t="b">
        <v>0</v>
      </c>
      <c r="F2549" s="80" t="b">
        <v>0</v>
      </c>
      <c r="G2549" s="80" t="b">
        <v>0</v>
      </c>
    </row>
    <row r="2550" spans="1:7" ht="15">
      <c r="A2550" s="81" t="s">
        <v>3205</v>
      </c>
      <c r="B2550" s="80">
        <v>2</v>
      </c>
      <c r="C2550" s="104">
        <v>0.0011451511040921946</v>
      </c>
      <c r="D2550" s="80" t="s">
        <v>2189</v>
      </c>
      <c r="E2550" s="80" t="b">
        <v>0</v>
      </c>
      <c r="F2550" s="80" t="b">
        <v>0</v>
      </c>
      <c r="G2550" s="80" t="b">
        <v>0</v>
      </c>
    </row>
    <row r="2551" spans="1:7" ht="15">
      <c r="A2551" s="81" t="s">
        <v>2964</v>
      </c>
      <c r="B2551" s="80">
        <v>2</v>
      </c>
      <c r="C2551" s="104">
        <v>0.002011424472909407</v>
      </c>
      <c r="D2551" s="80" t="s">
        <v>2189</v>
      </c>
      <c r="E2551" s="80" t="b">
        <v>0</v>
      </c>
      <c r="F2551" s="80" t="b">
        <v>0</v>
      </c>
      <c r="G2551" s="80" t="b">
        <v>0</v>
      </c>
    </row>
    <row r="2552" spans="1:7" ht="15">
      <c r="A2552" s="81" t="s">
        <v>3139</v>
      </c>
      <c r="B2552" s="80">
        <v>2</v>
      </c>
      <c r="C2552" s="104">
        <v>0.002011424472909407</v>
      </c>
      <c r="D2552" s="80" t="s">
        <v>2189</v>
      </c>
      <c r="E2552" s="80" t="b">
        <v>0</v>
      </c>
      <c r="F2552" s="80" t="b">
        <v>0</v>
      </c>
      <c r="G2552" s="80" t="b">
        <v>0</v>
      </c>
    </row>
    <row r="2553" spans="1:7" ht="15">
      <c r="A2553" s="81" t="s">
        <v>2301</v>
      </c>
      <c r="B2553" s="80">
        <v>2</v>
      </c>
      <c r="C2553" s="104">
        <v>0.002011424472909407</v>
      </c>
      <c r="D2553" s="80" t="s">
        <v>2189</v>
      </c>
      <c r="E2553" s="80" t="b">
        <v>0</v>
      </c>
      <c r="F2553" s="80" t="b">
        <v>0</v>
      </c>
      <c r="G2553" s="80" t="b">
        <v>0</v>
      </c>
    </row>
    <row r="2554" spans="1:7" ht="15">
      <c r="A2554" s="81" t="s">
        <v>2357</v>
      </c>
      <c r="B2554" s="80">
        <v>2</v>
      </c>
      <c r="C2554" s="104">
        <v>0.0011451511040921946</v>
      </c>
      <c r="D2554" s="80" t="s">
        <v>2189</v>
      </c>
      <c r="E2554" s="80" t="b">
        <v>0</v>
      </c>
      <c r="F2554" s="80" t="b">
        <v>0</v>
      </c>
      <c r="G2554" s="80" t="b">
        <v>0</v>
      </c>
    </row>
    <row r="2555" spans="1:7" ht="15">
      <c r="A2555" s="81" t="s">
        <v>2238</v>
      </c>
      <c r="B2555" s="80">
        <v>2</v>
      </c>
      <c r="C2555" s="104">
        <v>0.0011451511040921946</v>
      </c>
      <c r="D2555" s="80" t="s">
        <v>2189</v>
      </c>
      <c r="E2555" s="80" t="b">
        <v>0</v>
      </c>
      <c r="F2555" s="80" t="b">
        <v>0</v>
      </c>
      <c r="G2555" s="80" t="b">
        <v>0</v>
      </c>
    </row>
    <row r="2556" spans="1:7" ht="15">
      <c r="A2556" s="81" t="s">
        <v>2462</v>
      </c>
      <c r="B2556" s="80">
        <v>2</v>
      </c>
      <c r="C2556" s="104">
        <v>0.0011451511040921946</v>
      </c>
      <c r="D2556" s="80" t="s">
        <v>2189</v>
      </c>
      <c r="E2556" s="80" t="b">
        <v>0</v>
      </c>
      <c r="F2556" s="80" t="b">
        <v>0</v>
      </c>
      <c r="G2556" s="80" t="b">
        <v>0</v>
      </c>
    </row>
    <row r="2557" spans="1:7" ht="15">
      <c r="A2557" s="81" t="s">
        <v>2640</v>
      </c>
      <c r="B2557" s="80">
        <v>2</v>
      </c>
      <c r="C2557" s="104">
        <v>0.002011424472909407</v>
      </c>
      <c r="D2557" s="80" t="s">
        <v>2189</v>
      </c>
      <c r="E2557" s="80" t="b">
        <v>0</v>
      </c>
      <c r="F2557" s="80" t="b">
        <v>0</v>
      </c>
      <c r="G2557" s="80" t="b">
        <v>0</v>
      </c>
    </row>
    <row r="2558" spans="1:7" ht="15">
      <c r="A2558" s="81" t="s">
        <v>2755</v>
      </c>
      <c r="B2558" s="80">
        <v>2</v>
      </c>
      <c r="C2558" s="104">
        <v>0.002011424472909407</v>
      </c>
      <c r="D2558" s="80" t="s">
        <v>2189</v>
      </c>
      <c r="E2558" s="80" t="b">
        <v>0</v>
      </c>
      <c r="F2558" s="80" t="b">
        <v>0</v>
      </c>
      <c r="G2558" s="80" t="b">
        <v>0</v>
      </c>
    </row>
    <row r="2559" spans="1:7" ht="15">
      <c r="A2559" s="81" t="s">
        <v>3060</v>
      </c>
      <c r="B2559" s="80">
        <v>2</v>
      </c>
      <c r="C2559" s="104">
        <v>0.0011451511040921946</v>
      </c>
      <c r="D2559" s="80" t="s">
        <v>2189</v>
      </c>
      <c r="E2559" s="80" t="b">
        <v>0</v>
      </c>
      <c r="F2559" s="80" t="b">
        <v>0</v>
      </c>
      <c r="G2559" s="80" t="b">
        <v>0</v>
      </c>
    </row>
    <row r="2560" spans="1:7" ht="15">
      <c r="A2560" s="81" t="s">
        <v>3260</v>
      </c>
      <c r="B2560" s="80">
        <v>2</v>
      </c>
      <c r="C2560" s="104">
        <v>0</v>
      </c>
      <c r="D2560" s="80" t="s">
        <v>2190</v>
      </c>
      <c r="E2560" s="80" t="b">
        <v>0</v>
      </c>
      <c r="F2560" s="80" t="b">
        <v>0</v>
      </c>
      <c r="G2560" s="80" t="b">
        <v>0</v>
      </c>
    </row>
    <row r="2561" spans="1:7" ht="15">
      <c r="A2561" s="81" t="s">
        <v>3356</v>
      </c>
      <c r="B2561" s="80">
        <v>2</v>
      </c>
      <c r="C2561" s="104">
        <v>0</v>
      </c>
      <c r="D2561" s="80" t="s">
        <v>2190</v>
      </c>
      <c r="E2561" s="80" t="b">
        <v>0</v>
      </c>
      <c r="F2561" s="80" t="b">
        <v>0</v>
      </c>
      <c r="G2561" s="80" t="b">
        <v>0</v>
      </c>
    </row>
    <row r="2562" spans="1:7" ht="15">
      <c r="A2562" s="81" t="s">
        <v>3221</v>
      </c>
      <c r="B2562" s="80">
        <v>2</v>
      </c>
      <c r="C2562" s="104">
        <v>0</v>
      </c>
      <c r="D2562" s="80" t="s">
        <v>2190</v>
      </c>
      <c r="E2562" s="80" t="b">
        <v>0</v>
      </c>
      <c r="F2562" s="80" t="b">
        <v>0</v>
      </c>
      <c r="G2562" s="80" t="b">
        <v>0</v>
      </c>
    </row>
    <row r="2563" spans="1:7" ht="15">
      <c r="A2563" s="81" t="s">
        <v>2213</v>
      </c>
      <c r="B2563" s="80">
        <v>7</v>
      </c>
      <c r="C2563" s="104">
        <v>0</v>
      </c>
      <c r="D2563" s="80" t="s">
        <v>2191</v>
      </c>
      <c r="E2563" s="80" t="b">
        <v>0</v>
      </c>
      <c r="F2563" s="80" t="b">
        <v>0</v>
      </c>
      <c r="G2563" s="80" t="b">
        <v>0</v>
      </c>
    </row>
    <row r="2564" spans="1:7" ht="15">
      <c r="A2564" s="81" t="s">
        <v>2238</v>
      </c>
      <c r="B2564" s="80">
        <v>3</v>
      </c>
      <c r="C2564" s="104">
        <v>0.005574629549332985</v>
      </c>
      <c r="D2564" s="80" t="s">
        <v>2191</v>
      </c>
      <c r="E2564" s="80" t="b">
        <v>0</v>
      </c>
      <c r="F2564" s="80" t="b">
        <v>0</v>
      </c>
      <c r="G2564" s="80" t="b">
        <v>0</v>
      </c>
    </row>
    <row r="2565" spans="1:7" ht="15">
      <c r="A2565" s="81" t="s">
        <v>2219</v>
      </c>
      <c r="B2565" s="80">
        <v>3</v>
      </c>
      <c r="C2565" s="104">
        <v>0</v>
      </c>
      <c r="D2565" s="80" t="s">
        <v>2191</v>
      </c>
      <c r="E2565" s="80" t="b">
        <v>0</v>
      </c>
      <c r="F2565" s="80" t="b">
        <v>0</v>
      </c>
      <c r="G2565" s="80" t="b">
        <v>0</v>
      </c>
    </row>
    <row r="2566" spans="1:7" ht="15">
      <c r="A2566" s="81" t="s">
        <v>2217</v>
      </c>
      <c r="B2566" s="80">
        <v>3</v>
      </c>
      <c r="C2566" s="104">
        <v>0.005574629549332985</v>
      </c>
      <c r="D2566" s="80" t="s">
        <v>2191</v>
      </c>
      <c r="E2566" s="80" t="b">
        <v>0</v>
      </c>
      <c r="F2566" s="80" t="b">
        <v>0</v>
      </c>
      <c r="G2566" s="80" t="b">
        <v>0</v>
      </c>
    </row>
    <row r="2567" spans="1:7" ht="15">
      <c r="A2567" s="81" t="s">
        <v>2302</v>
      </c>
      <c r="B2567" s="80">
        <v>2</v>
      </c>
      <c r="C2567" s="104">
        <v>0</v>
      </c>
      <c r="D2567" s="80" t="s">
        <v>2191</v>
      </c>
      <c r="E2567" s="80" t="b">
        <v>0</v>
      </c>
      <c r="F2567" s="80" t="b">
        <v>0</v>
      </c>
      <c r="G2567" s="80" t="b">
        <v>0</v>
      </c>
    </row>
    <row r="2568" spans="1:7" ht="15">
      <c r="A2568" s="81" t="s">
        <v>2745</v>
      </c>
      <c r="B2568" s="80">
        <v>2</v>
      </c>
      <c r="C2568" s="104">
        <v>0.0037164196995553233</v>
      </c>
      <c r="D2568" s="80" t="s">
        <v>2191</v>
      </c>
      <c r="E2568" s="80" t="b">
        <v>0</v>
      </c>
      <c r="F2568" s="80" t="b">
        <v>0</v>
      </c>
      <c r="G2568" s="80" t="b">
        <v>0</v>
      </c>
    </row>
    <row r="2569" spans="1:7" ht="15">
      <c r="A2569" s="81" t="s">
        <v>2214</v>
      </c>
      <c r="B2569" s="80">
        <v>2</v>
      </c>
      <c r="C2569" s="104">
        <v>0.0037164196995553233</v>
      </c>
      <c r="D2569" s="80" t="s">
        <v>2191</v>
      </c>
      <c r="E2569" s="80" t="b">
        <v>0</v>
      </c>
      <c r="F2569" s="80" t="b">
        <v>0</v>
      </c>
      <c r="G2569" s="80" t="b">
        <v>0</v>
      </c>
    </row>
    <row r="2570" spans="1:7" ht="15">
      <c r="A2570" s="81" t="s">
        <v>2729</v>
      </c>
      <c r="B2570" s="80">
        <v>2</v>
      </c>
      <c r="C2570" s="104">
        <v>0.0037164196995553233</v>
      </c>
      <c r="D2570" s="80" t="s">
        <v>2191</v>
      </c>
      <c r="E2570" s="80" t="b">
        <v>1</v>
      </c>
      <c r="F2570" s="80" t="b">
        <v>0</v>
      </c>
      <c r="G2570" s="80" t="b">
        <v>0</v>
      </c>
    </row>
    <row r="2571" spans="1:7" ht="15">
      <c r="A2571" s="81" t="s">
        <v>2694</v>
      </c>
      <c r="B2571" s="80">
        <v>2</v>
      </c>
      <c r="C2571" s="104">
        <v>0.0037164196995553233</v>
      </c>
      <c r="D2571" s="80" t="s">
        <v>2191</v>
      </c>
      <c r="E2571" s="80" t="b">
        <v>0</v>
      </c>
      <c r="F2571" s="80" t="b">
        <v>0</v>
      </c>
      <c r="G2571" s="80" t="b">
        <v>0</v>
      </c>
    </row>
    <row r="2572" spans="1:7" ht="15">
      <c r="A2572" s="81" t="s">
        <v>2267</v>
      </c>
      <c r="B2572" s="80">
        <v>2</v>
      </c>
      <c r="C2572" s="104">
        <v>0.0037164196995553233</v>
      </c>
      <c r="D2572" s="80" t="s">
        <v>2191</v>
      </c>
      <c r="E2572" s="80" t="b">
        <v>0</v>
      </c>
      <c r="F2572" s="80" t="b">
        <v>0</v>
      </c>
      <c r="G2572" s="80" t="b">
        <v>0</v>
      </c>
    </row>
    <row r="2573" spans="1:7" ht="15">
      <c r="A2573" s="81" t="s">
        <v>2292</v>
      </c>
      <c r="B2573" s="80">
        <v>2</v>
      </c>
      <c r="C2573" s="104">
        <v>0.0037164196995553233</v>
      </c>
      <c r="D2573" s="80" t="s">
        <v>2191</v>
      </c>
      <c r="E2573" s="80" t="b">
        <v>0</v>
      </c>
      <c r="F2573" s="80" t="b">
        <v>0</v>
      </c>
      <c r="G2573" s="80" t="b">
        <v>0</v>
      </c>
    </row>
    <row r="2574" spans="1:7" ht="15">
      <c r="A2574" s="81" t="s">
        <v>3049</v>
      </c>
      <c r="B2574" s="80">
        <v>2</v>
      </c>
      <c r="C2574" s="104">
        <v>0.0037164196995553233</v>
      </c>
      <c r="D2574" s="80" t="s">
        <v>2191</v>
      </c>
      <c r="E2574" s="80" t="b">
        <v>0</v>
      </c>
      <c r="F2574" s="80" t="b">
        <v>0</v>
      </c>
      <c r="G2574" s="80" t="b">
        <v>0</v>
      </c>
    </row>
    <row r="2575" spans="1:7" ht="15">
      <c r="A2575" s="81" t="s">
        <v>3030</v>
      </c>
      <c r="B2575" s="80">
        <v>2</v>
      </c>
      <c r="C2575" s="104">
        <v>0.0037164196995553233</v>
      </c>
      <c r="D2575" s="80" t="s">
        <v>2191</v>
      </c>
      <c r="E2575" s="80" t="b">
        <v>0</v>
      </c>
      <c r="F2575" s="80" t="b">
        <v>0</v>
      </c>
      <c r="G2575" s="80" t="b">
        <v>0</v>
      </c>
    </row>
    <row r="2576" spans="1:7" ht="15">
      <c r="A2576" s="81" t="s">
        <v>3261</v>
      </c>
      <c r="B2576" s="80">
        <v>2</v>
      </c>
      <c r="C2576" s="104">
        <v>0</v>
      </c>
      <c r="D2576" s="80" t="s">
        <v>2191</v>
      </c>
      <c r="E2576" s="80" t="b">
        <v>0</v>
      </c>
      <c r="F2576" s="80" t="b">
        <v>0</v>
      </c>
      <c r="G2576" s="80" t="b">
        <v>0</v>
      </c>
    </row>
    <row r="2577" spans="1:7" ht="15">
      <c r="A2577" s="81" t="s">
        <v>2325</v>
      </c>
      <c r="B2577" s="80">
        <v>2</v>
      </c>
      <c r="C2577" s="104">
        <v>0</v>
      </c>
      <c r="D2577" s="80" t="s">
        <v>2191</v>
      </c>
      <c r="E2577" s="80" t="b">
        <v>0</v>
      </c>
      <c r="F2577" s="80" t="b">
        <v>0</v>
      </c>
      <c r="G2577" s="80" t="b">
        <v>0</v>
      </c>
    </row>
    <row r="2578" spans="1:7" ht="15">
      <c r="A2578" s="81" t="s">
        <v>2319</v>
      </c>
      <c r="B2578" s="80">
        <v>2</v>
      </c>
      <c r="C2578" s="104">
        <v>0.0037164196995553233</v>
      </c>
      <c r="D2578" s="80" t="s">
        <v>2191</v>
      </c>
      <c r="E2578" s="80" t="b">
        <v>0</v>
      </c>
      <c r="F2578" s="80" t="b">
        <v>0</v>
      </c>
      <c r="G2578" s="80" t="b">
        <v>0</v>
      </c>
    </row>
    <row r="2579" spans="1:7" ht="15">
      <c r="A2579" s="81" t="s">
        <v>2836</v>
      </c>
      <c r="B2579" s="80">
        <v>2</v>
      </c>
      <c r="C2579" s="104">
        <v>0.0037164196995553233</v>
      </c>
      <c r="D2579" s="80" t="s">
        <v>2191</v>
      </c>
      <c r="E2579" s="80" t="b">
        <v>0</v>
      </c>
      <c r="F2579" s="80" t="b">
        <v>0</v>
      </c>
      <c r="G2579" s="80" t="b">
        <v>0</v>
      </c>
    </row>
    <row r="2580" spans="1:7" ht="15">
      <c r="A2580" s="81" t="s">
        <v>2935</v>
      </c>
      <c r="B2580" s="80">
        <v>2</v>
      </c>
      <c r="C2580" s="104">
        <v>0.0037164196995553233</v>
      </c>
      <c r="D2580" s="80" t="s">
        <v>2191</v>
      </c>
      <c r="E2580" s="80" t="b">
        <v>0</v>
      </c>
      <c r="F2580" s="80" t="b">
        <v>0</v>
      </c>
      <c r="G2580" s="80" t="b">
        <v>0</v>
      </c>
    </row>
    <row r="2581" spans="1:7" ht="15">
      <c r="A2581" s="81" t="s">
        <v>3006</v>
      </c>
      <c r="B2581" s="80">
        <v>2</v>
      </c>
      <c r="C2581" s="104">
        <v>0</v>
      </c>
      <c r="D2581" s="80" t="s">
        <v>2191</v>
      </c>
      <c r="E2581" s="80" t="b">
        <v>0</v>
      </c>
      <c r="F2581" s="80" t="b">
        <v>0</v>
      </c>
      <c r="G2581" s="80" t="b">
        <v>0</v>
      </c>
    </row>
    <row r="2582" spans="1:7" ht="15">
      <c r="A2582" s="81" t="s">
        <v>2315</v>
      </c>
      <c r="B2582" s="80">
        <v>2</v>
      </c>
      <c r="C2582" s="104">
        <v>0</v>
      </c>
      <c r="D2582" s="80" t="s">
        <v>2191</v>
      </c>
      <c r="E2582" s="80" t="b">
        <v>0</v>
      </c>
      <c r="F2582" s="80" t="b">
        <v>0</v>
      </c>
      <c r="G2582"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FFC96-3DE2-46CD-A91F-D10BA633051B}">
  <dimension ref="A1:L17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3374</v>
      </c>
      <c r="B1" s="7" t="s">
        <v>3375</v>
      </c>
      <c r="C1" s="7" t="s">
        <v>3365</v>
      </c>
      <c r="D1" s="7" t="s">
        <v>3369</v>
      </c>
      <c r="E1" s="7" t="s">
        <v>3376</v>
      </c>
      <c r="F1" s="7" t="s">
        <v>144</v>
      </c>
      <c r="G1" s="7" t="s">
        <v>3377</v>
      </c>
      <c r="H1" s="7" t="s">
        <v>3378</v>
      </c>
      <c r="I1" s="7" t="s">
        <v>3379</v>
      </c>
      <c r="J1" s="7" t="s">
        <v>3380</v>
      </c>
      <c r="K1" s="7" t="s">
        <v>3381</v>
      </c>
      <c r="L1" s="7" t="s">
        <v>3382</v>
      </c>
    </row>
    <row r="2" spans="1:12" ht="15">
      <c r="A2" s="80" t="s">
        <v>2213</v>
      </c>
      <c r="B2" s="80" t="s">
        <v>2214</v>
      </c>
      <c r="C2" s="80">
        <v>93</v>
      </c>
      <c r="D2" s="104">
        <v>0.002188237755875571</v>
      </c>
      <c r="E2" s="104">
        <v>1.7054419728098702</v>
      </c>
      <c r="F2" s="80" t="s">
        <v>3370</v>
      </c>
      <c r="G2" s="80" t="b">
        <v>0</v>
      </c>
      <c r="H2" s="80" t="b">
        <v>0</v>
      </c>
      <c r="I2" s="80" t="b">
        <v>0</v>
      </c>
      <c r="J2" s="80" t="b">
        <v>0</v>
      </c>
      <c r="K2" s="80" t="b">
        <v>0</v>
      </c>
      <c r="L2" s="80" t="b">
        <v>0</v>
      </c>
    </row>
    <row r="3" spans="1:12" ht="15">
      <c r="A3" s="81" t="s">
        <v>2234</v>
      </c>
      <c r="B3" s="80" t="s">
        <v>2226</v>
      </c>
      <c r="C3" s="80">
        <v>33</v>
      </c>
      <c r="D3" s="104">
        <v>0.002109765311351556</v>
      </c>
      <c r="E3" s="104">
        <v>2.2326526814594083</v>
      </c>
      <c r="F3" s="80" t="s">
        <v>3370</v>
      </c>
      <c r="G3" s="80" t="b">
        <v>0</v>
      </c>
      <c r="H3" s="80" t="b">
        <v>0</v>
      </c>
      <c r="I3" s="80" t="b">
        <v>0</v>
      </c>
      <c r="J3" s="80" t="b">
        <v>0</v>
      </c>
      <c r="K3" s="80" t="b">
        <v>0</v>
      </c>
      <c r="L3" s="80" t="b">
        <v>0</v>
      </c>
    </row>
    <row r="4" spans="1:12" ht="15">
      <c r="A4" s="81" t="s">
        <v>2215</v>
      </c>
      <c r="B4" s="80" t="s">
        <v>2222</v>
      </c>
      <c r="C4" s="80">
        <v>27</v>
      </c>
      <c r="D4" s="104">
        <v>0.001777120867356713</v>
      </c>
      <c r="E4" s="104">
        <v>1.6824677122994507</v>
      </c>
      <c r="F4" s="80" t="s">
        <v>3370</v>
      </c>
      <c r="G4" s="80" t="b">
        <v>0</v>
      </c>
      <c r="H4" s="80" t="b">
        <v>0</v>
      </c>
      <c r="I4" s="80" t="b">
        <v>0</v>
      </c>
      <c r="J4" s="80" t="b">
        <v>0</v>
      </c>
      <c r="K4" s="80" t="b">
        <v>0</v>
      </c>
      <c r="L4" s="80" t="b">
        <v>0</v>
      </c>
    </row>
    <row r="5" spans="1:12" ht="15">
      <c r="A5" s="81" t="s">
        <v>2231</v>
      </c>
      <c r="B5" s="80" t="s">
        <v>2219</v>
      </c>
      <c r="C5" s="80">
        <v>24</v>
      </c>
      <c r="D5" s="104">
        <v>0.002489829048696005</v>
      </c>
      <c r="E5" s="104">
        <v>1.947291150012145</v>
      </c>
      <c r="F5" s="80" t="s">
        <v>3370</v>
      </c>
      <c r="G5" s="80" t="b">
        <v>0</v>
      </c>
      <c r="H5" s="80" t="b">
        <v>0</v>
      </c>
      <c r="I5" s="80" t="b">
        <v>0</v>
      </c>
      <c r="J5" s="80" t="b">
        <v>0</v>
      </c>
      <c r="K5" s="80" t="b">
        <v>0</v>
      </c>
      <c r="L5" s="80" t="b">
        <v>0</v>
      </c>
    </row>
    <row r="6" spans="1:12" ht="15">
      <c r="A6" s="81" t="s">
        <v>2215</v>
      </c>
      <c r="B6" s="80" t="s">
        <v>2224</v>
      </c>
      <c r="C6" s="80">
        <v>23</v>
      </c>
      <c r="D6" s="104">
        <v>0.001705196909379383</v>
      </c>
      <c r="E6" s="104">
        <v>1.6214319559199737</v>
      </c>
      <c r="F6" s="80" t="s">
        <v>3370</v>
      </c>
      <c r="G6" s="80" t="b">
        <v>0</v>
      </c>
      <c r="H6" s="80" t="b">
        <v>0</v>
      </c>
      <c r="I6" s="80" t="b">
        <v>0</v>
      </c>
      <c r="J6" s="80" t="b">
        <v>0</v>
      </c>
      <c r="K6" s="80" t="b">
        <v>0</v>
      </c>
      <c r="L6" s="80" t="b">
        <v>0</v>
      </c>
    </row>
    <row r="7" spans="1:12" ht="15">
      <c r="A7" s="81" t="s">
        <v>2222</v>
      </c>
      <c r="B7" s="80" t="s">
        <v>2225</v>
      </c>
      <c r="C7" s="80">
        <v>20</v>
      </c>
      <c r="D7" s="104">
        <v>0.001627816576763649</v>
      </c>
      <c r="E7" s="104">
        <v>1.8385342705118686</v>
      </c>
      <c r="F7" s="80" t="s">
        <v>3370</v>
      </c>
      <c r="G7" s="80" t="b">
        <v>0</v>
      </c>
      <c r="H7" s="80" t="b">
        <v>0</v>
      </c>
      <c r="I7" s="80" t="b">
        <v>0</v>
      </c>
      <c r="J7" s="80" t="b">
        <v>0</v>
      </c>
      <c r="K7" s="80" t="b">
        <v>0</v>
      </c>
      <c r="L7" s="80" t="b">
        <v>0</v>
      </c>
    </row>
    <row r="8" spans="1:12" ht="15">
      <c r="A8" s="81" t="s">
        <v>2224</v>
      </c>
      <c r="B8" s="80" t="s">
        <v>2215</v>
      </c>
      <c r="C8" s="80">
        <v>19</v>
      </c>
      <c r="D8" s="104">
        <v>0.001596993430065478</v>
      </c>
      <c r="E8" s="104">
        <v>1.53845772085521</v>
      </c>
      <c r="F8" s="80" t="s">
        <v>3370</v>
      </c>
      <c r="G8" s="80" t="b">
        <v>0</v>
      </c>
      <c r="H8" s="80" t="b">
        <v>0</v>
      </c>
      <c r="I8" s="80" t="b">
        <v>0</v>
      </c>
      <c r="J8" s="80" t="b">
        <v>0</v>
      </c>
      <c r="K8" s="80" t="b">
        <v>0</v>
      </c>
      <c r="L8" s="80" t="b">
        <v>0</v>
      </c>
    </row>
    <row r="9" spans="1:12" ht="15">
      <c r="A9" s="81" t="s">
        <v>2215</v>
      </c>
      <c r="B9" s="80" t="s">
        <v>2240</v>
      </c>
      <c r="C9" s="80">
        <v>18</v>
      </c>
      <c r="D9" s="104">
        <v>0.0015634381245941125</v>
      </c>
      <c r="E9" s="104">
        <v>1.7515486314427497</v>
      </c>
      <c r="F9" s="80" t="s">
        <v>3370</v>
      </c>
      <c r="G9" s="80" t="b">
        <v>0</v>
      </c>
      <c r="H9" s="80" t="b">
        <v>0</v>
      </c>
      <c r="I9" s="80" t="b">
        <v>0</v>
      </c>
      <c r="J9" s="80" t="b">
        <v>0</v>
      </c>
      <c r="K9" s="80" t="b">
        <v>0</v>
      </c>
      <c r="L9" s="80" t="b">
        <v>0</v>
      </c>
    </row>
    <row r="10" spans="1:12" ht="15">
      <c r="A10" s="81" t="s">
        <v>2218</v>
      </c>
      <c r="B10" s="80" t="s">
        <v>2218</v>
      </c>
      <c r="C10" s="80">
        <v>18</v>
      </c>
      <c r="D10" s="104">
        <v>0.0015634381245941125</v>
      </c>
      <c r="E10" s="104">
        <v>1.5471613083770883</v>
      </c>
      <c r="F10" s="80" t="s">
        <v>3370</v>
      </c>
      <c r="G10" s="80" t="b">
        <v>0</v>
      </c>
      <c r="H10" s="80" t="b">
        <v>0</v>
      </c>
      <c r="I10" s="80" t="b">
        <v>0</v>
      </c>
      <c r="J10" s="80" t="b">
        <v>0</v>
      </c>
      <c r="K10" s="80" t="b">
        <v>0</v>
      </c>
      <c r="L10" s="80" t="b">
        <v>0</v>
      </c>
    </row>
    <row r="11" spans="1:12" ht="15">
      <c r="A11" s="81" t="s">
        <v>2218</v>
      </c>
      <c r="B11" s="80" t="s">
        <v>2257</v>
      </c>
      <c r="C11" s="80">
        <v>16</v>
      </c>
      <c r="D11" s="104">
        <v>0.0014875053770774548</v>
      </c>
      <c r="E11" s="104">
        <v>1.9867028478386435</v>
      </c>
      <c r="F11" s="80" t="s">
        <v>3370</v>
      </c>
      <c r="G11" s="80" t="b">
        <v>0</v>
      </c>
      <c r="H11" s="80" t="b">
        <v>0</v>
      </c>
      <c r="I11" s="80" t="b">
        <v>0</v>
      </c>
      <c r="J11" s="80" t="b">
        <v>0</v>
      </c>
      <c r="K11" s="80" t="b">
        <v>0</v>
      </c>
      <c r="L11" s="80" t="b">
        <v>0</v>
      </c>
    </row>
    <row r="12" spans="1:12" ht="15">
      <c r="A12" s="81" t="s">
        <v>2271</v>
      </c>
      <c r="B12" s="80" t="s">
        <v>2217</v>
      </c>
      <c r="C12" s="80">
        <v>15</v>
      </c>
      <c r="D12" s="104">
        <v>0.0014984645114002337</v>
      </c>
      <c r="E12" s="104">
        <v>2.0308489415306643</v>
      </c>
      <c r="F12" s="80" t="s">
        <v>3370</v>
      </c>
      <c r="G12" s="80" t="b">
        <v>0</v>
      </c>
      <c r="H12" s="80" t="b">
        <v>0</v>
      </c>
      <c r="I12" s="80" t="b">
        <v>0</v>
      </c>
      <c r="J12" s="80" t="b">
        <v>0</v>
      </c>
      <c r="K12" s="80" t="b">
        <v>0</v>
      </c>
      <c r="L12" s="80" t="b">
        <v>0</v>
      </c>
    </row>
    <row r="13" spans="1:12" ht="15">
      <c r="A13" s="81" t="s">
        <v>2250</v>
      </c>
      <c r="B13" s="80" t="s">
        <v>2232</v>
      </c>
      <c r="C13" s="80">
        <v>14</v>
      </c>
      <c r="D13" s="104">
        <v>0.0014524002784060029</v>
      </c>
      <c r="E13" s="104">
        <v>2.1706367991778834</v>
      </c>
      <c r="F13" s="80" t="s">
        <v>3370</v>
      </c>
      <c r="G13" s="80" t="b">
        <v>0</v>
      </c>
      <c r="H13" s="80" t="b">
        <v>0</v>
      </c>
      <c r="I13" s="80" t="b">
        <v>0</v>
      </c>
      <c r="J13" s="80" t="b">
        <v>0</v>
      </c>
      <c r="K13" s="80" t="b">
        <v>0</v>
      </c>
      <c r="L13" s="80" t="b">
        <v>0</v>
      </c>
    </row>
    <row r="14" spans="1:12" ht="15">
      <c r="A14" s="81" t="s">
        <v>2256</v>
      </c>
      <c r="B14" s="80" t="s">
        <v>2231</v>
      </c>
      <c r="C14" s="80">
        <v>13</v>
      </c>
      <c r="D14" s="104">
        <v>0.0013486574013770027</v>
      </c>
      <c r="E14" s="104">
        <v>2.129655977515601</v>
      </c>
      <c r="F14" s="80" t="s">
        <v>3370</v>
      </c>
      <c r="G14" s="80" t="b">
        <v>0</v>
      </c>
      <c r="H14" s="80" t="b">
        <v>0</v>
      </c>
      <c r="I14" s="80" t="b">
        <v>0</v>
      </c>
      <c r="J14" s="80" t="b">
        <v>0</v>
      </c>
      <c r="K14" s="80" t="b">
        <v>0</v>
      </c>
      <c r="L14" s="80" t="b">
        <v>0</v>
      </c>
    </row>
    <row r="15" spans="1:12" ht="15">
      <c r="A15" s="81" t="s">
        <v>2219</v>
      </c>
      <c r="B15" s="80" t="s">
        <v>2313</v>
      </c>
      <c r="C15" s="80">
        <v>13</v>
      </c>
      <c r="D15" s="104">
        <v>0.0013486574013770027</v>
      </c>
      <c r="E15" s="104">
        <v>2.146863504917349</v>
      </c>
      <c r="F15" s="80" t="s">
        <v>3370</v>
      </c>
      <c r="G15" s="80" t="b">
        <v>0</v>
      </c>
      <c r="H15" s="80" t="b">
        <v>0</v>
      </c>
      <c r="I15" s="80" t="b">
        <v>0</v>
      </c>
      <c r="J15" s="80" t="b">
        <v>0</v>
      </c>
      <c r="K15" s="80" t="b">
        <v>0</v>
      </c>
      <c r="L15" s="80" t="b">
        <v>0</v>
      </c>
    </row>
    <row r="16" spans="1:12" ht="15">
      <c r="A16" s="81" t="s">
        <v>2299</v>
      </c>
      <c r="B16" s="80" t="s">
        <v>2306</v>
      </c>
      <c r="C16" s="80">
        <v>13</v>
      </c>
      <c r="D16" s="104">
        <v>0.0013486574013770027</v>
      </c>
      <c r="E16" s="104">
        <v>2.7715874808812555</v>
      </c>
      <c r="F16" s="80" t="s">
        <v>3370</v>
      </c>
      <c r="G16" s="80" t="b">
        <v>0</v>
      </c>
      <c r="H16" s="80" t="b">
        <v>1</v>
      </c>
      <c r="I16" s="80" t="b">
        <v>0</v>
      </c>
      <c r="J16" s="80" t="b">
        <v>0</v>
      </c>
      <c r="K16" s="80" t="b">
        <v>0</v>
      </c>
      <c r="L16" s="80" t="b">
        <v>0</v>
      </c>
    </row>
    <row r="17" spans="1:12" ht="15">
      <c r="A17" s="81" t="s">
        <v>2315</v>
      </c>
      <c r="B17" s="80" t="s">
        <v>2302</v>
      </c>
      <c r="C17" s="80">
        <v>13</v>
      </c>
      <c r="D17" s="104">
        <v>0.0013486574013770027</v>
      </c>
      <c r="E17" s="104">
        <v>2.7715874808812555</v>
      </c>
      <c r="F17" s="80" t="s">
        <v>3370</v>
      </c>
      <c r="G17" s="80" t="b">
        <v>0</v>
      </c>
      <c r="H17" s="80" t="b">
        <v>0</v>
      </c>
      <c r="I17" s="80" t="b">
        <v>0</v>
      </c>
      <c r="J17" s="80" t="b">
        <v>0</v>
      </c>
      <c r="K17" s="80" t="b">
        <v>0</v>
      </c>
      <c r="L17" s="80" t="b">
        <v>0</v>
      </c>
    </row>
    <row r="18" spans="1:12" ht="15">
      <c r="A18" s="81" t="s">
        <v>2288</v>
      </c>
      <c r="B18" s="80" t="s">
        <v>2299</v>
      </c>
      <c r="C18" s="80">
        <v>13</v>
      </c>
      <c r="D18" s="104">
        <v>0.0013486574013770027</v>
      </c>
      <c r="E18" s="104">
        <v>2.7094395741324107</v>
      </c>
      <c r="F18" s="80" t="s">
        <v>3370</v>
      </c>
      <c r="G18" s="80" t="b">
        <v>0</v>
      </c>
      <c r="H18" s="80" t="b">
        <v>0</v>
      </c>
      <c r="I18" s="80" t="b">
        <v>0</v>
      </c>
      <c r="J18" s="80" t="b">
        <v>0</v>
      </c>
      <c r="K18" s="80" t="b">
        <v>1</v>
      </c>
      <c r="L18" s="80" t="b">
        <v>0</v>
      </c>
    </row>
    <row r="19" spans="1:12" ht="15">
      <c r="A19" s="81" t="s">
        <v>2306</v>
      </c>
      <c r="B19" s="80" t="s">
        <v>2312</v>
      </c>
      <c r="C19" s="80">
        <v>13</v>
      </c>
      <c r="D19" s="104">
        <v>0.0013486574013770027</v>
      </c>
      <c r="E19" s="104">
        <v>2.8037721642526567</v>
      </c>
      <c r="F19" s="80" t="s">
        <v>3370</v>
      </c>
      <c r="G19" s="80" t="b">
        <v>0</v>
      </c>
      <c r="H19" s="80" t="b">
        <v>0</v>
      </c>
      <c r="I19" s="80" t="b">
        <v>0</v>
      </c>
      <c r="J19" s="80" t="b">
        <v>0</v>
      </c>
      <c r="K19" s="80" t="b">
        <v>0</v>
      </c>
      <c r="L19" s="80" t="b">
        <v>0</v>
      </c>
    </row>
    <row r="20" spans="1:12" ht="15">
      <c r="A20" s="81" t="s">
        <v>2313</v>
      </c>
      <c r="B20" s="80" t="s">
        <v>2310</v>
      </c>
      <c r="C20" s="80">
        <v>13</v>
      </c>
      <c r="D20" s="104">
        <v>0.0013486574013770027</v>
      </c>
      <c r="E20" s="104">
        <v>2.8037721642526567</v>
      </c>
      <c r="F20" s="80" t="s">
        <v>3370</v>
      </c>
      <c r="G20" s="80" t="b">
        <v>0</v>
      </c>
      <c r="H20" s="80" t="b">
        <v>0</v>
      </c>
      <c r="I20" s="80" t="b">
        <v>0</v>
      </c>
      <c r="J20" s="80" t="b">
        <v>0</v>
      </c>
      <c r="K20" s="80" t="b">
        <v>0</v>
      </c>
      <c r="L20" s="80" t="b">
        <v>0</v>
      </c>
    </row>
    <row r="21" spans="1:12" ht="15">
      <c r="A21" s="81" t="s">
        <v>2312</v>
      </c>
      <c r="B21" s="80" t="s">
        <v>2256</v>
      </c>
      <c r="C21" s="80">
        <v>13</v>
      </c>
      <c r="D21" s="104">
        <v>0.0013486574013770027</v>
      </c>
      <c r="E21" s="104">
        <v>2.595496221825574</v>
      </c>
      <c r="F21" s="80" t="s">
        <v>3370</v>
      </c>
      <c r="G21" s="80" t="b">
        <v>0</v>
      </c>
      <c r="H21" s="80" t="b">
        <v>0</v>
      </c>
      <c r="I21" s="80" t="b">
        <v>0</v>
      </c>
      <c r="J21" s="80" t="b">
        <v>0</v>
      </c>
      <c r="K21" s="80" t="b">
        <v>0</v>
      </c>
      <c r="L21" s="80" t="b">
        <v>0</v>
      </c>
    </row>
    <row r="22" spans="1:12" ht="15">
      <c r="A22" s="81" t="s">
        <v>2221</v>
      </c>
      <c r="B22" s="80" t="s">
        <v>2231</v>
      </c>
      <c r="C22" s="80">
        <v>11</v>
      </c>
      <c r="D22" s="104">
        <v>0.0012365189996051107</v>
      </c>
      <c r="E22" s="104">
        <v>1.6550487355001193</v>
      </c>
      <c r="F22" s="80" t="s">
        <v>3370</v>
      </c>
      <c r="G22" s="80" t="b">
        <v>0</v>
      </c>
      <c r="H22" s="80" t="b">
        <v>0</v>
      </c>
      <c r="I22" s="80" t="b">
        <v>0</v>
      </c>
      <c r="J22" s="80" t="b">
        <v>0</v>
      </c>
      <c r="K22" s="80" t="b">
        <v>0</v>
      </c>
      <c r="L22" s="80" t="b">
        <v>0</v>
      </c>
    </row>
    <row r="23" spans="1:12" ht="15">
      <c r="A23" s="81" t="s">
        <v>2331</v>
      </c>
      <c r="B23" s="80" t="s">
        <v>2215</v>
      </c>
      <c r="C23" s="80">
        <v>11</v>
      </c>
      <c r="D23" s="104">
        <v>0.0012365189996051107</v>
      </c>
      <c r="E23" s="104">
        <v>1.9586741242383998</v>
      </c>
      <c r="F23" s="80" t="s">
        <v>3370</v>
      </c>
      <c r="G23" s="80" t="b">
        <v>0</v>
      </c>
      <c r="H23" s="80" t="b">
        <v>0</v>
      </c>
      <c r="I23" s="80" t="b">
        <v>0</v>
      </c>
      <c r="J23" s="80" t="b">
        <v>0</v>
      </c>
      <c r="K23" s="80" t="b">
        <v>0</v>
      </c>
      <c r="L23" s="80" t="b">
        <v>0</v>
      </c>
    </row>
    <row r="24" spans="1:12" ht="15">
      <c r="A24" s="81" t="s">
        <v>2222</v>
      </c>
      <c r="B24" s="80" t="s">
        <v>2215</v>
      </c>
      <c r="C24" s="80">
        <v>11</v>
      </c>
      <c r="D24" s="104">
        <v>0.0012365189996051107</v>
      </c>
      <c r="E24" s="104">
        <v>1.301096805060606</v>
      </c>
      <c r="F24" s="80" t="s">
        <v>3370</v>
      </c>
      <c r="G24" s="80" t="b">
        <v>0</v>
      </c>
      <c r="H24" s="80" t="b">
        <v>0</v>
      </c>
      <c r="I24" s="80" t="b">
        <v>0</v>
      </c>
      <c r="J24" s="80" t="b">
        <v>0</v>
      </c>
      <c r="K24" s="80" t="b">
        <v>0</v>
      </c>
      <c r="L24" s="80" t="b">
        <v>0</v>
      </c>
    </row>
    <row r="25" spans="1:12" ht="15">
      <c r="A25" s="81" t="s">
        <v>2226</v>
      </c>
      <c r="B25" s="80" t="s">
        <v>2231</v>
      </c>
      <c r="C25" s="80">
        <v>11</v>
      </c>
      <c r="D25" s="104">
        <v>0.0012365189996051107</v>
      </c>
      <c r="E25" s="104">
        <v>1.707226747165191</v>
      </c>
      <c r="F25" s="80" t="s">
        <v>3370</v>
      </c>
      <c r="G25" s="80" t="b">
        <v>0</v>
      </c>
      <c r="H25" s="80" t="b">
        <v>0</v>
      </c>
      <c r="I25" s="80" t="b">
        <v>0</v>
      </c>
      <c r="J25" s="80" t="b">
        <v>0</v>
      </c>
      <c r="K25" s="80" t="b">
        <v>0</v>
      </c>
      <c r="L25" s="80" t="b">
        <v>0</v>
      </c>
    </row>
    <row r="26" spans="1:12" ht="15">
      <c r="A26" s="81" t="s">
        <v>2239</v>
      </c>
      <c r="B26" s="80" t="s">
        <v>2218</v>
      </c>
      <c r="C26" s="80">
        <v>11</v>
      </c>
      <c r="D26" s="104">
        <v>0.0012365189996051107</v>
      </c>
      <c r="E26" s="104">
        <v>1.6837968471759068</v>
      </c>
      <c r="F26" s="80" t="s">
        <v>3370</v>
      </c>
      <c r="G26" s="80" t="b">
        <v>0</v>
      </c>
      <c r="H26" s="80" t="b">
        <v>0</v>
      </c>
      <c r="I26" s="80" t="b">
        <v>0</v>
      </c>
      <c r="J26" s="80" t="b">
        <v>0</v>
      </c>
      <c r="K26" s="80" t="b">
        <v>0</v>
      </c>
      <c r="L26" s="80" t="b">
        <v>0</v>
      </c>
    </row>
    <row r="27" spans="1:12" ht="15">
      <c r="A27" s="81" t="s">
        <v>2219</v>
      </c>
      <c r="B27" s="80" t="s">
        <v>2235</v>
      </c>
      <c r="C27" s="80">
        <v>11</v>
      </c>
      <c r="D27" s="104">
        <v>0.0012365189996051107</v>
      </c>
      <c r="E27" s="104">
        <v>1.6831062117556683</v>
      </c>
      <c r="F27" s="80" t="s">
        <v>3370</v>
      </c>
      <c r="G27" s="80" t="b">
        <v>0</v>
      </c>
      <c r="H27" s="80" t="b">
        <v>0</v>
      </c>
      <c r="I27" s="80" t="b">
        <v>0</v>
      </c>
      <c r="J27" s="80" t="b">
        <v>0</v>
      </c>
      <c r="K27" s="80" t="b">
        <v>0</v>
      </c>
      <c r="L27" s="80" t="b">
        <v>0</v>
      </c>
    </row>
    <row r="28" spans="1:12" ht="15">
      <c r="A28" s="81" t="s">
        <v>2231</v>
      </c>
      <c r="B28" s="80" t="s">
        <v>2288</v>
      </c>
      <c r="C28" s="80">
        <v>11</v>
      </c>
      <c r="D28" s="104">
        <v>0.0012365189996051107</v>
      </c>
      <c r="E28" s="104">
        <v>2.203233346045227</v>
      </c>
      <c r="F28" s="80" t="s">
        <v>3370</v>
      </c>
      <c r="G28" s="80" t="b">
        <v>0</v>
      </c>
      <c r="H28" s="80" t="b">
        <v>0</v>
      </c>
      <c r="I28" s="80" t="b">
        <v>0</v>
      </c>
      <c r="J28" s="80" t="b">
        <v>0</v>
      </c>
      <c r="K28" s="80" t="b">
        <v>0</v>
      </c>
      <c r="L28" s="80" t="b">
        <v>0</v>
      </c>
    </row>
    <row r="29" spans="1:12" ht="15">
      <c r="A29" s="81" t="s">
        <v>2338</v>
      </c>
      <c r="B29" s="80" t="s">
        <v>2229</v>
      </c>
      <c r="C29" s="80">
        <v>11</v>
      </c>
      <c r="D29" s="104">
        <v>0.0026051354317126944</v>
      </c>
      <c r="E29" s="104">
        <v>2.304931659839758</v>
      </c>
      <c r="F29" s="80" t="s">
        <v>3370</v>
      </c>
      <c r="G29" s="80" t="b">
        <v>0</v>
      </c>
      <c r="H29" s="80" t="b">
        <v>0</v>
      </c>
      <c r="I29" s="80" t="b">
        <v>0</v>
      </c>
      <c r="J29" s="80" t="b">
        <v>0</v>
      </c>
      <c r="K29" s="80" t="b">
        <v>0</v>
      </c>
      <c r="L29" s="80" t="b">
        <v>0</v>
      </c>
    </row>
    <row r="30" spans="1:12" ht="15">
      <c r="A30" s="81" t="s">
        <v>2310</v>
      </c>
      <c r="B30" s="80" t="s">
        <v>2234</v>
      </c>
      <c r="C30" s="80">
        <v>11</v>
      </c>
      <c r="D30" s="104">
        <v>0.0012365189996051107</v>
      </c>
      <c r="E30" s="104">
        <v>2.3827668515119256</v>
      </c>
      <c r="F30" s="80" t="s">
        <v>3370</v>
      </c>
      <c r="G30" s="80" t="b">
        <v>0</v>
      </c>
      <c r="H30" s="80" t="b">
        <v>0</v>
      </c>
      <c r="I30" s="80" t="b">
        <v>0</v>
      </c>
      <c r="J30" s="80" t="b">
        <v>0</v>
      </c>
      <c r="K30" s="80" t="b">
        <v>0</v>
      </c>
      <c r="L30" s="80" t="b">
        <v>0</v>
      </c>
    </row>
    <row r="31" spans="1:12" ht="15">
      <c r="A31" s="81" t="s">
        <v>2240</v>
      </c>
      <c r="B31" s="80" t="s">
        <v>2215</v>
      </c>
      <c r="C31" s="80">
        <v>11</v>
      </c>
      <c r="D31" s="104">
        <v>0.0012365189996051107</v>
      </c>
      <c r="E31" s="104">
        <v>1.6198555676850188</v>
      </c>
      <c r="F31" s="80" t="s">
        <v>3370</v>
      </c>
      <c r="G31" s="80" t="b">
        <v>0</v>
      </c>
      <c r="H31" s="80" t="b">
        <v>0</v>
      </c>
      <c r="I31" s="80" t="b">
        <v>0</v>
      </c>
      <c r="J31" s="80" t="b">
        <v>0</v>
      </c>
      <c r="K31" s="80" t="b">
        <v>0</v>
      </c>
      <c r="L31" s="80" t="b">
        <v>0</v>
      </c>
    </row>
    <row r="32" spans="1:12" ht="15">
      <c r="A32" s="81" t="s">
        <v>2235</v>
      </c>
      <c r="B32" s="80" t="s">
        <v>2331</v>
      </c>
      <c r="C32" s="80">
        <v>11</v>
      </c>
      <c r="D32" s="104">
        <v>0.0012365189996051107</v>
      </c>
      <c r="E32" s="104">
        <v>2.4125655382395874</v>
      </c>
      <c r="F32" s="80" t="s">
        <v>3370</v>
      </c>
      <c r="G32" s="80" t="b">
        <v>0</v>
      </c>
      <c r="H32" s="80" t="b">
        <v>0</v>
      </c>
      <c r="I32" s="80" t="b">
        <v>0</v>
      </c>
      <c r="J32" s="80" t="b">
        <v>0</v>
      </c>
      <c r="K32" s="80" t="b">
        <v>0</v>
      </c>
      <c r="L32" s="80" t="b">
        <v>0</v>
      </c>
    </row>
    <row r="33" spans="1:12" ht="15">
      <c r="A33" s="81" t="s">
        <v>2282</v>
      </c>
      <c r="B33" s="80" t="s">
        <v>2347</v>
      </c>
      <c r="C33" s="80">
        <v>10</v>
      </c>
      <c r="D33" s="104">
        <v>0.0015332153270054356</v>
      </c>
      <c r="E33" s="104">
        <v>2.7135955339035687</v>
      </c>
      <c r="F33" s="80" t="s">
        <v>3370</v>
      </c>
      <c r="G33" s="80" t="b">
        <v>0</v>
      </c>
      <c r="H33" s="80" t="b">
        <v>0</v>
      </c>
      <c r="I33" s="80" t="b">
        <v>0</v>
      </c>
      <c r="J33" s="80" t="b">
        <v>0</v>
      </c>
      <c r="K33" s="80" t="b">
        <v>0</v>
      </c>
      <c r="L33" s="80" t="b">
        <v>0</v>
      </c>
    </row>
    <row r="34" spans="1:12" ht="15">
      <c r="A34" s="81" t="s">
        <v>2225</v>
      </c>
      <c r="B34" s="80" t="s">
        <v>2215</v>
      </c>
      <c r="C34" s="80">
        <v>10</v>
      </c>
      <c r="D34" s="104">
        <v>0.0011735618076936301</v>
      </c>
      <c r="E34" s="104">
        <v>1.4023716234711125</v>
      </c>
      <c r="F34" s="80" t="s">
        <v>3370</v>
      </c>
      <c r="G34" s="80" t="b">
        <v>0</v>
      </c>
      <c r="H34" s="80" t="b">
        <v>0</v>
      </c>
      <c r="I34" s="80" t="b">
        <v>0</v>
      </c>
      <c r="J34" s="80" t="b">
        <v>0</v>
      </c>
      <c r="K34" s="80" t="b">
        <v>0</v>
      </c>
      <c r="L34" s="80" t="b">
        <v>0</v>
      </c>
    </row>
    <row r="35" spans="1:12" ht="15">
      <c r="A35" s="81" t="s">
        <v>2365</v>
      </c>
      <c r="B35" s="80" t="s">
        <v>2223</v>
      </c>
      <c r="C35" s="80">
        <v>9</v>
      </c>
      <c r="D35" s="104">
        <v>0.0012947526695224999</v>
      </c>
      <c r="E35" s="104">
        <v>2.210145340461557</v>
      </c>
      <c r="F35" s="80" t="s">
        <v>3370</v>
      </c>
      <c r="G35" s="80" t="b">
        <v>0</v>
      </c>
      <c r="H35" s="80" t="b">
        <v>0</v>
      </c>
      <c r="I35" s="80" t="b">
        <v>0</v>
      </c>
      <c r="J35" s="80" t="b">
        <v>0</v>
      </c>
      <c r="K35" s="80" t="b">
        <v>0</v>
      </c>
      <c r="L35" s="80" t="b">
        <v>0</v>
      </c>
    </row>
    <row r="36" spans="1:12" ht="15">
      <c r="A36" s="81" t="s">
        <v>2217</v>
      </c>
      <c r="B36" s="80" t="s">
        <v>2213</v>
      </c>
      <c r="C36" s="80">
        <v>9</v>
      </c>
      <c r="D36" s="104">
        <v>0.0012227668742207651</v>
      </c>
      <c r="E36" s="104">
        <v>1.00213981801949</v>
      </c>
      <c r="F36" s="80" t="s">
        <v>3370</v>
      </c>
      <c r="G36" s="80" t="b">
        <v>0</v>
      </c>
      <c r="H36" s="80" t="b">
        <v>0</v>
      </c>
      <c r="I36" s="80" t="b">
        <v>0</v>
      </c>
      <c r="J36" s="80" t="b">
        <v>0</v>
      </c>
      <c r="K36" s="80" t="b">
        <v>0</v>
      </c>
      <c r="L36" s="80" t="b">
        <v>0</v>
      </c>
    </row>
    <row r="37" spans="1:12" ht="15">
      <c r="A37" s="81" t="s">
        <v>2223</v>
      </c>
      <c r="B37" s="80" t="s">
        <v>2269</v>
      </c>
      <c r="C37" s="80">
        <v>9</v>
      </c>
      <c r="D37" s="104">
        <v>0.0012947526695224999</v>
      </c>
      <c r="E37" s="104">
        <v>1.933938928522608</v>
      </c>
      <c r="F37" s="80" t="s">
        <v>3370</v>
      </c>
      <c r="G37" s="80" t="b">
        <v>0</v>
      </c>
      <c r="H37" s="80" t="b">
        <v>0</v>
      </c>
      <c r="I37" s="80" t="b">
        <v>0</v>
      </c>
      <c r="J37" s="80" t="b">
        <v>0</v>
      </c>
      <c r="K37" s="80" t="b">
        <v>0</v>
      </c>
      <c r="L37" s="80" t="b">
        <v>0</v>
      </c>
    </row>
    <row r="38" spans="1:12" ht="15">
      <c r="A38" s="81" t="s">
        <v>2281</v>
      </c>
      <c r="B38" s="80" t="s">
        <v>2261</v>
      </c>
      <c r="C38" s="80">
        <v>8</v>
      </c>
      <c r="D38" s="104">
        <v>0.001031475503988172</v>
      </c>
      <c r="E38" s="104">
        <v>2.337931919942683</v>
      </c>
      <c r="F38" s="80" t="s">
        <v>3370</v>
      </c>
      <c r="G38" s="80" t="b">
        <v>0</v>
      </c>
      <c r="H38" s="80" t="b">
        <v>0</v>
      </c>
      <c r="I38" s="80" t="b">
        <v>0</v>
      </c>
      <c r="J38" s="80" t="b">
        <v>1</v>
      </c>
      <c r="K38" s="80" t="b">
        <v>0</v>
      </c>
      <c r="L38" s="80" t="b">
        <v>0</v>
      </c>
    </row>
    <row r="39" spans="1:12" ht="15">
      <c r="A39" s="81" t="s">
        <v>2305</v>
      </c>
      <c r="B39" s="80" t="s">
        <v>2283</v>
      </c>
      <c r="C39" s="80">
        <v>8</v>
      </c>
      <c r="D39" s="104">
        <v>0.001031475503988172</v>
      </c>
      <c r="E39" s="104">
        <v>2.4985862088175175</v>
      </c>
      <c r="F39" s="80" t="s">
        <v>3370</v>
      </c>
      <c r="G39" s="80" t="b">
        <v>0</v>
      </c>
      <c r="H39" s="80" t="b">
        <v>0</v>
      </c>
      <c r="I39" s="80" t="b">
        <v>0</v>
      </c>
      <c r="J39" s="80" t="b">
        <v>0</v>
      </c>
      <c r="K39" s="80" t="b">
        <v>0</v>
      </c>
      <c r="L39" s="80" t="b">
        <v>0</v>
      </c>
    </row>
    <row r="40" spans="1:12" ht="15">
      <c r="A40" s="81" t="s">
        <v>2225</v>
      </c>
      <c r="B40" s="80" t="s">
        <v>2224</v>
      </c>
      <c r="C40" s="80">
        <v>8</v>
      </c>
      <c r="D40" s="104">
        <v>0.001031475503988172</v>
      </c>
      <c r="E40" s="104">
        <v>1.565532998448131</v>
      </c>
      <c r="F40" s="80" t="s">
        <v>3370</v>
      </c>
      <c r="G40" s="80" t="b">
        <v>0</v>
      </c>
      <c r="H40" s="80" t="b">
        <v>0</v>
      </c>
      <c r="I40" s="80" t="b">
        <v>0</v>
      </c>
      <c r="J40" s="80" t="b">
        <v>0</v>
      </c>
      <c r="K40" s="80" t="b">
        <v>0</v>
      </c>
      <c r="L40" s="80" t="b">
        <v>0</v>
      </c>
    </row>
    <row r="41" spans="1:12" ht="15">
      <c r="A41" s="81" t="s">
        <v>2254</v>
      </c>
      <c r="B41" s="80" t="s">
        <v>2236</v>
      </c>
      <c r="C41" s="80">
        <v>8</v>
      </c>
      <c r="D41" s="104">
        <v>0.001031475503988172</v>
      </c>
      <c r="E41" s="104">
        <v>1.9732328444093248</v>
      </c>
      <c r="F41" s="80" t="s">
        <v>3370</v>
      </c>
      <c r="G41" s="80" t="b">
        <v>0</v>
      </c>
      <c r="H41" s="80" t="b">
        <v>0</v>
      </c>
      <c r="I41" s="80" t="b">
        <v>0</v>
      </c>
      <c r="J41" s="80" t="b">
        <v>0</v>
      </c>
      <c r="K41" s="80" t="b">
        <v>0</v>
      </c>
      <c r="L41" s="80" t="b">
        <v>0</v>
      </c>
    </row>
    <row r="42" spans="1:12" ht="15">
      <c r="A42" s="81" t="s">
        <v>2311</v>
      </c>
      <c r="B42" s="80" t="s">
        <v>2232</v>
      </c>
      <c r="C42" s="80">
        <v>7</v>
      </c>
      <c r="D42" s="104">
        <v>0.0009510409021717062</v>
      </c>
      <c r="E42" s="104">
        <v>2.1173912872246583</v>
      </c>
      <c r="F42" s="80" t="s">
        <v>3370</v>
      </c>
      <c r="G42" s="80" t="b">
        <v>0</v>
      </c>
      <c r="H42" s="80" t="b">
        <v>0</v>
      </c>
      <c r="I42" s="80" t="b">
        <v>0</v>
      </c>
      <c r="J42" s="80" t="b">
        <v>0</v>
      </c>
      <c r="K42" s="80" t="b">
        <v>0</v>
      </c>
      <c r="L42" s="80" t="b">
        <v>0</v>
      </c>
    </row>
    <row r="43" spans="1:12" ht="15">
      <c r="A43" s="81" t="s">
        <v>2274</v>
      </c>
      <c r="B43" s="80" t="s">
        <v>2300</v>
      </c>
      <c r="C43" s="80">
        <v>7</v>
      </c>
      <c r="D43" s="104">
        <v>0.0010732507289038051</v>
      </c>
      <c r="E43" s="104">
        <v>2.4125655382395874</v>
      </c>
      <c r="F43" s="80" t="s">
        <v>3370</v>
      </c>
      <c r="G43" s="80" t="b">
        <v>0</v>
      </c>
      <c r="H43" s="80" t="b">
        <v>0</v>
      </c>
      <c r="I43" s="80" t="b">
        <v>0</v>
      </c>
      <c r="J43" s="80" t="b">
        <v>0</v>
      </c>
      <c r="K43" s="80" t="b">
        <v>0</v>
      </c>
      <c r="L43" s="80" t="b">
        <v>0</v>
      </c>
    </row>
    <row r="44" spans="1:12" ht="15">
      <c r="A44" s="81" t="s">
        <v>2416</v>
      </c>
      <c r="B44" s="80" t="s">
        <v>2418</v>
      </c>
      <c r="C44" s="80">
        <v>7</v>
      </c>
      <c r="D44" s="104">
        <v>0.001657813456544442</v>
      </c>
      <c r="E44" s="104">
        <v>3.0726174765452368</v>
      </c>
      <c r="F44" s="80" t="s">
        <v>3370</v>
      </c>
      <c r="G44" s="80" t="b">
        <v>0</v>
      </c>
      <c r="H44" s="80" t="b">
        <v>0</v>
      </c>
      <c r="I44" s="80" t="b">
        <v>0</v>
      </c>
      <c r="J44" s="80" t="b">
        <v>0</v>
      </c>
      <c r="K44" s="80" t="b">
        <v>0</v>
      </c>
      <c r="L44" s="80" t="b">
        <v>0</v>
      </c>
    </row>
    <row r="45" spans="1:12" ht="15">
      <c r="A45" s="81" t="s">
        <v>2257</v>
      </c>
      <c r="B45" s="80" t="s">
        <v>2218</v>
      </c>
      <c r="C45" s="80">
        <v>7</v>
      </c>
      <c r="D45" s="104">
        <v>0.0009510409021717062</v>
      </c>
      <c r="E45" s="104">
        <v>1.6276809051969754</v>
      </c>
      <c r="F45" s="80" t="s">
        <v>3370</v>
      </c>
      <c r="G45" s="80" t="b">
        <v>0</v>
      </c>
      <c r="H45" s="80" t="b">
        <v>0</v>
      </c>
      <c r="I45" s="80" t="b">
        <v>0</v>
      </c>
      <c r="J45" s="80" t="b">
        <v>0</v>
      </c>
      <c r="K45" s="80" t="b">
        <v>0</v>
      </c>
      <c r="L45" s="80" t="b">
        <v>0</v>
      </c>
    </row>
    <row r="46" spans="1:12" ht="15">
      <c r="A46" s="81" t="s">
        <v>2294</v>
      </c>
      <c r="B46" s="80" t="s">
        <v>2233</v>
      </c>
      <c r="C46" s="80">
        <v>7</v>
      </c>
      <c r="D46" s="104">
        <v>0.0009510409021717062</v>
      </c>
      <c r="E46" s="104">
        <v>2.130356264389026</v>
      </c>
      <c r="F46" s="80" t="s">
        <v>3370</v>
      </c>
      <c r="G46" s="80" t="b">
        <v>0</v>
      </c>
      <c r="H46" s="80" t="b">
        <v>0</v>
      </c>
      <c r="I46" s="80" t="b">
        <v>0</v>
      </c>
      <c r="J46" s="80" t="b">
        <v>0</v>
      </c>
      <c r="K46" s="80" t="b">
        <v>0</v>
      </c>
      <c r="L46" s="80" t="b">
        <v>0</v>
      </c>
    </row>
    <row r="47" spans="1:12" ht="15">
      <c r="A47" s="81" t="s">
        <v>2238</v>
      </c>
      <c r="B47" s="80" t="s">
        <v>2229</v>
      </c>
      <c r="C47" s="80">
        <v>7</v>
      </c>
      <c r="D47" s="104">
        <v>0.0009510409021717062</v>
      </c>
      <c r="E47" s="104">
        <v>1.658668006019742</v>
      </c>
      <c r="F47" s="80" t="s">
        <v>3370</v>
      </c>
      <c r="G47" s="80" t="b">
        <v>0</v>
      </c>
      <c r="H47" s="80" t="b">
        <v>0</v>
      </c>
      <c r="I47" s="80" t="b">
        <v>0</v>
      </c>
      <c r="J47" s="80" t="b">
        <v>0</v>
      </c>
      <c r="K47" s="80" t="b">
        <v>0</v>
      </c>
      <c r="L47" s="80" t="b">
        <v>0</v>
      </c>
    </row>
    <row r="48" spans="1:12" ht="15">
      <c r="A48" s="81" t="s">
        <v>2342</v>
      </c>
      <c r="B48" s="80" t="s">
        <v>2241</v>
      </c>
      <c r="C48" s="80">
        <v>7</v>
      </c>
      <c r="D48" s="104">
        <v>0.001657813456544442</v>
      </c>
      <c r="E48" s="104">
        <v>2.315655525231531</v>
      </c>
      <c r="F48" s="80" t="s">
        <v>3370</v>
      </c>
      <c r="G48" s="80" t="b">
        <v>1</v>
      </c>
      <c r="H48" s="80" t="b">
        <v>0</v>
      </c>
      <c r="I48" s="80" t="b">
        <v>0</v>
      </c>
      <c r="J48" s="80" t="b">
        <v>0</v>
      </c>
      <c r="K48" s="80" t="b">
        <v>0</v>
      </c>
      <c r="L48" s="80" t="b">
        <v>0</v>
      </c>
    </row>
    <row r="49" spans="1:12" ht="15">
      <c r="A49" s="81" t="s">
        <v>2222</v>
      </c>
      <c r="B49" s="80" t="s">
        <v>2224</v>
      </c>
      <c r="C49" s="80">
        <v>7</v>
      </c>
      <c r="D49" s="104">
        <v>0.0009510409021717062</v>
      </c>
      <c r="E49" s="104">
        <v>1.3648735479017127</v>
      </c>
      <c r="F49" s="80" t="s">
        <v>3370</v>
      </c>
      <c r="G49" s="80" t="b">
        <v>0</v>
      </c>
      <c r="H49" s="80" t="b">
        <v>0</v>
      </c>
      <c r="I49" s="80" t="b">
        <v>0</v>
      </c>
      <c r="J49" s="80" t="b">
        <v>0</v>
      </c>
      <c r="K49" s="80" t="b">
        <v>0</v>
      </c>
      <c r="L49" s="80" t="b">
        <v>0</v>
      </c>
    </row>
    <row r="50" spans="1:12" ht="15">
      <c r="A50" s="81" t="s">
        <v>2241</v>
      </c>
      <c r="B50" s="80" t="s">
        <v>2395</v>
      </c>
      <c r="C50" s="80">
        <v>7</v>
      </c>
      <c r="D50" s="104">
        <v>0.001657813456544442</v>
      </c>
      <c r="E50" s="104">
        <v>2.4705574852172743</v>
      </c>
      <c r="F50" s="80" t="s">
        <v>3370</v>
      </c>
      <c r="G50" s="80" t="b">
        <v>0</v>
      </c>
      <c r="H50" s="80" t="b">
        <v>0</v>
      </c>
      <c r="I50" s="80" t="b">
        <v>0</v>
      </c>
      <c r="J50" s="80" t="b">
        <v>0</v>
      </c>
      <c r="K50" s="80" t="b">
        <v>0</v>
      </c>
      <c r="L50" s="80" t="b">
        <v>0</v>
      </c>
    </row>
    <row r="51" spans="1:12" ht="15">
      <c r="A51" s="81" t="s">
        <v>2248</v>
      </c>
      <c r="B51" s="80" t="s">
        <v>2332</v>
      </c>
      <c r="C51" s="80">
        <v>6</v>
      </c>
      <c r="D51" s="104">
        <v>0.0009199291962032614</v>
      </c>
      <c r="E51" s="104">
        <v>2.274262840073306</v>
      </c>
      <c r="F51" s="80" t="s">
        <v>3370</v>
      </c>
      <c r="G51" s="80" t="b">
        <v>0</v>
      </c>
      <c r="H51" s="80" t="b">
        <v>0</v>
      </c>
      <c r="I51" s="80" t="b">
        <v>0</v>
      </c>
      <c r="J51" s="80" t="b">
        <v>0</v>
      </c>
      <c r="K51" s="80" t="b">
        <v>0</v>
      </c>
      <c r="L51" s="80" t="b">
        <v>0</v>
      </c>
    </row>
    <row r="52" spans="1:12" ht="15">
      <c r="A52" s="81" t="s">
        <v>2221</v>
      </c>
      <c r="B52" s="80" t="s">
        <v>2275</v>
      </c>
      <c r="C52" s="80">
        <v>6</v>
      </c>
      <c r="D52" s="104">
        <v>0.0009199291962032614</v>
      </c>
      <c r="E52" s="104">
        <v>1.7674709146864231</v>
      </c>
      <c r="F52" s="80" t="s">
        <v>3370</v>
      </c>
      <c r="G52" s="80" t="b">
        <v>0</v>
      </c>
      <c r="H52" s="80" t="b">
        <v>0</v>
      </c>
      <c r="I52" s="80" t="b">
        <v>0</v>
      </c>
      <c r="J52" s="80" t="b">
        <v>0</v>
      </c>
      <c r="K52" s="80" t="b">
        <v>0</v>
      </c>
      <c r="L52" s="80" t="b">
        <v>0</v>
      </c>
    </row>
    <row r="53" spans="1:12" ht="15">
      <c r="A53" s="81" t="s">
        <v>2244</v>
      </c>
      <c r="B53" s="80" t="s">
        <v>2276</v>
      </c>
      <c r="C53" s="80">
        <v>6</v>
      </c>
      <c r="D53" s="104">
        <v>0.0012051908511652954</v>
      </c>
      <c r="E53" s="104">
        <v>2.044588752944993</v>
      </c>
      <c r="F53" s="80" t="s">
        <v>3370</v>
      </c>
      <c r="G53" s="80" t="b">
        <v>0</v>
      </c>
      <c r="H53" s="80" t="b">
        <v>0</v>
      </c>
      <c r="I53" s="80" t="b">
        <v>0</v>
      </c>
      <c r="J53" s="80" t="b">
        <v>0</v>
      </c>
      <c r="K53" s="80" t="b">
        <v>0</v>
      </c>
      <c r="L53" s="80" t="b">
        <v>0</v>
      </c>
    </row>
    <row r="54" spans="1:12" ht="15">
      <c r="A54" s="81" t="s">
        <v>2276</v>
      </c>
      <c r="B54" s="80" t="s">
        <v>2238</v>
      </c>
      <c r="C54" s="80">
        <v>6</v>
      </c>
      <c r="D54" s="104">
        <v>0.0012051908511652954</v>
      </c>
      <c r="E54" s="104">
        <v>2.0003850904529394</v>
      </c>
      <c r="F54" s="80" t="s">
        <v>3370</v>
      </c>
      <c r="G54" s="80" t="b">
        <v>0</v>
      </c>
      <c r="H54" s="80" t="b">
        <v>0</v>
      </c>
      <c r="I54" s="80" t="b">
        <v>0</v>
      </c>
      <c r="J54" s="80" t="b">
        <v>0</v>
      </c>
      <c r="K54" s="80" t="b">
        <v>0</v>
      </c>
      <c r="L54" s="80" t="b">
        <v>0</v>
      </c>
    </row>
    <row r="55" spans="1:12" ht="15">
      <c r="A55" s="81" t="s">
        <v>2382</v>
      </c>
      <c r="B55" s="80" t="s">
        <v>2217</v>
      </c>
      <c r="C55" s="80">
        <v>6</v>
      </c>
      <c r="D55" s="104">
        <v>0.0008631684463483332</v>
      </c>
      <c r="E55" s="104">
        <v>1.9602678672449572</v>
      </c>
      <c r="F55" s="80" t="s">
        <v>3370</v>
      </c>
      <c r="G55" s="80" t="b">
        <v>0</v>
      </c>
      <c r="H55" s="80" t="b">
        <v>0</v>
      </c>
      <c r="I55" s="80" t="b">
        <v>0</v>
      </c>
      <c r="J55" s="80" t="b">
        <v>0</v>
      </c>
      <c r="K55" s="80" t="b">
        <v>0</v>
      </c>
      <c r="L55" s="80" t="b">
        <v>0</v>
      </c>
    </row>
    <row r="56" spans="1:12" ht="15">
      <c r="A56" s="81" t="s">
        <v>2348</v>
      </c>
      <c r="B56" s="80" t="s">
        <v>2340</v>
      </c>
      <c r="C56" s="80">
        <v>6</v>
      </c>
      <c r="D56" s="104">
        <v>0.0012051908511652954</v>
      </c>
      <c r="E56" s="104">
        <v>2.695866766943137</v>
      </c>
      <c r="F56" s="80" t="s">
        <v>3370</v>
      </c>
      <c r="G56" s="80" t="b">
        <v>0</v>
      </c>
      <c r="H56" s="80" t="b">
        <v>0</v>
      </c>
      <c r="I56" s="80" t="b">
        <v>0</v>
      </c>
      <c r="J56" s="80" t="b">
        <v>0</v>
      </c>
      <c r="K56" s="80" t="b">
        <v>0</v>
      </c>
      <c r="L56" s="80" t="b">
        <v>0</v>
      </c>
    </row>
    <row r="57" spans="1:12" ht="15">
      <c r="A57" s="81" t="s">
        <v>2262</v>
      </c>
      <c r="B57" s="80" t="s">
        <v>2289</v>
      </c>
      <c r="C57" s="80">
        <v>6</v>
      </c>
      <c r="D57" s="104">
        <v>0.0014209829627523788</v>
      </c>
      <c r="E57" s="104">
        <v>2.241021906934627</v>
      </c>
      <c r="F57" s="80" t="s">
        <v>3370</v>
      </c>
      <c r="G57" s="80" t="b">
        <v>0</v>
      </c>
      <c r="H57" s="80" t="b">
        <v>0</v>
      </c>
      <c r="I57" s="80" t="b">
        <v>0</v>
      </c>
      <c r="J57" s="80" t="b">
        <v>0</v>
      </c>
      <c r="K57" s="80" t="b">
        <v>0</v>
      </c>
      <c r="L57" s="80" t="b">
        <v>0</v>
      </c>
    </row>
    <row r="58" spans="1:12" ht="15">
      <c r="A58" s="81" t="s">
        <v>2262</v>
      </c>
      <c r="B58" s="80" t="s">
        <v>2285</v>
      </c>
      <c r="C58" s="80">
        <v>6</v>
      </c>
      <c r="D58" s="104">
        <v>0.0012051908511652954</v>
      </c>
      <c r="E58" s="104">
        <v>2.241021906934627</v>
      </c>
      <c r="F58" s="80" t="s">
        <v>3370</v>
      </c>
      <c r="G58" s="80" t="b">
        <v>0</v>
      </c>
      <c r="H58" s="80" t="b">
        <v>0</v>
      </c>
      <c r="I58" s="80" t="b">
        <v>0</v>
      </c>
      <c r="J58" s="80" t="b">
        <v>0</v>
      </c>
      <c r="K58" s="80" t="b">
        <v>0</v>
      </c>
      <c r="L58" s="80" t="b">
        <v>0</v>
      </c>
    </row>
    <row r="59" spans="1:12" ht="15">
      <c r="A59" s="81" t="s">
        <v>2429</v>
      </c>
      <c r="B59" s="80" t="s">
        <v>2431</v>
      </c>
      <c r="C59" s="80">
        <v>6</v>
      </c>
      <c r="D59" s="104">
        <v>0.0012051908511652954</v>
      </c>
      <c r="E59" s="104">
        <v>3.13956426617585</v>
      </c>
      <c r="F59" s="80" t="s">
        <v>3370</v>
      </c>
      <c r="G59" s="80" t="b">
        <v>0</v>
      </c>
      <c r="H59" s="80" t="b">
        <v>0</v>
      </c>
      <c r="I59" s="80" t="b">
        <v>0</v>
      </c>
      <c r="J59" s="80" t="b">
        <v>0</v>
      </c>
      <c r="K59" s="80" t="b">
        <v>0</v>
      </c>
      <c r="L59" s="80" t="b">
        <v>0</v>
      </c>
    </row>
    <row r="60" spans="1:12" ht="15">
      <c r="A60" s="81" t="s">
        <v>2349</v>
      </c>
      <c r="B60" s="80" t="s">
        <v>2449</v>
      </c>
      <c r="C60" s="80">
        <v>6</v>
      </c>
      <c r="D60" s="104">
        <v>0.0014209829627523788</v>
      </c>
      <c r="E60" s="104">
        <v>2.9177155165594932</v>
      </c>
      <c r="F60" s="80" t="s">
        <v>3370</v>
      </c>
      <c r="G60" s="80" t="b">
        <v>0</v>
      </c>
      <c r="H60" s="80" t="b">
        <v>0</v>
      </c>
      <c r="I60" s="80" t="b">
        <v>0</v>
      </c>
      <c r="J60" s="80" t="b">
        <v>0</v>
      </c>
      <c r="K60" s="80" t="b">
        <v>0</v>
      </c>
      <c r="L60" s="80" t="b">
        <v>0</v>
      </c>
    </row>
    <row r="61" spans="1:12" ht="15">
      <c r="A61" s="81" t="s">
        <v>2228</v>
      </c>
      <c r="B61" s="80" t="s">
        <v>2365</v>
      </c>
      <c r="C61" s="80">
        <v>6</v>
      </c>
      <c r="D61" s="104">
        <v>0.0009199291962032614</v>
      </c>
      <c r="E61" s="104">
        <v>2.1183749671059116</v>
      </c>
      <c r="F61" s="80" t="s">
        <v>3370</v>
      </c>
      <c r="G61" s="80" t="b">
        <v>0</v>
      </c>
      <c r="H61" s="80" t="b">
        <v>0</v>
      </c>
      <c r="I61" s="80" t="b">
        <v>0</v>
      </c>
      <c r="J61" s="80" t="b">
        <v>0</v>
      </c>
      <c r="K61" s="80" t="b">
        <v>0</v>
      </c>
      <c r="L61" s="80" t="b">
        <v>0</v>
      </c>
    </row>
    <row r="62" spans="1:12" ht="15">
      <c r="A62" s="81" t="s">
        <v>2214</v>
      </c>
      <c r="B62" s="80" t="s">
        <v>2220</v>
      </c>
      <c r="C62" s="80">
        <v>6</v>
      </c>
      <c r="D62" s="104">
        <v>0.0012051908511652954</v>
      </c>
      <c r="E62" s="104">
        <v>0.890773888600464</v>
      </c>
      <c r="F62" s="80" t="s">
        <v>3370</v>
      </c>
      <c r="G62" s="80" t="b">
        <v>0</v>
      </c>
      <c r="H62" s="80" t="b">
        <v>0</v>
      </c>
      <c r="I62" s="80" t="b">
        <v>0</v>
      </c>
      <c r="J62" s="80" t="b">
        <v>0</v>
      </c>
      <c r="K62" s="80" t="b">
        <v>0</v>
      </c>
      <c r="L62" s="80" t="b">
        <v>0</v>
      </c>
    </row>
    <row r="63" spans="1:12" ht="15">
      <c r="A63" s="81" t="s">
        <v>2273</v>
      </c>
      <c r="B63" s="80" t="s">
        <v>2243</v>
      </c>
      <c r="C63" s="80">
        <v>6</v>
      </c>
      <c r="D63" s="104">
        <v>0.000989398739578212</v>
      </c>
      <c r="E63" s="104">
        <v>2.018259814222644</v>
      </c>
      <c r="F63" s="80" t="s">
        <v>3370</v>
      </c>
      <c r="G63" s="80" t="b">
        <v>1</v>
      </c>
      <c r="H63" s="80" t="b">
        <v>0</v>
      </c>
      <c r="I63" s="80" t="b">
        <v>0</v>
      </c>
      <c r="J63" s="80" t="b">
        <v>0</v>
      </c>
      <c r="K63" s="80" t="b">
        <v>0</v>
      </c>
      <c r="L63" s="80" t="b">
        <v>0</v>
      </c>
    </row>
    <row r="64" spans="1:12" ht="15">
      <c r="A64" s="81" t="s">
        <v>2475</v>
      </c>
      <c r="B64" s="80" t="s">
        <v>2223</v>
      </c>
      <c r="C64" s="80">
        <v>6</v>
      </c>
      <c r="D64" s="104">
        <v>0.000989398739578212</v>
      </c>
      <c r="E64" s="104">
        <v>2.210145340461557</v>
      </c>
      <c r="F64" s="80" t="s">
        <v>3370</v>
      </c>
      <c r="G64" s="80" t="b">
        <v>0</v>
      </c>
      <c r="H64" s="80" t="b">
        <v>0</v>
      </c>
      <c r="I64" s="80" t="b">
        <v>0</v>
      </c>
      <c r="J64" s="80" t="b">
        <v>0</v>
      </c>
      <c r="K64" s="80" t="b">
        <v>0</v>
      </c>
      <c r="L64" s="80" t="b">
        <v>0</v>
      </c>
    </row>
    <row r="65" spans="1:12" ht="15">
      <c r="A65" s="81" t="s">
        <v>2214</v>
      </c>
      <c r="B65" s="80" t="s">
        <v>2290</v>
      </c>
      <c r="C65" s="80">
        <v>6</v>
      </c>
      <c r="D65" s="104">
        <v>0.0008631684463483332</v>
      </c>
      <c r="E65" s="104">
        <v>1.4628706565509833</v>
      </c>
      <c r="F65" s="80" t="s">
        <v>3370</v>
      </c>
      <c r="G65" s="80" t="b">
        <v>0</v>
      </c>
      <c r="H65" s="80" t="b">
        <v>0</v>
      </c>
      <c r="I65" s="80" t="b">
        <v>0</v>
      </c>
      <c r="J65" s="80" t="b">
        <v>0</v>
      </c>
      <c r="K65" s="80" t="b">
        <v>0</v>
      </c>
      <c r="L65" s="80" t="b">
        <v>0</v>
      </c>
    </row>
    <row r="66" spans="1:12" ht="15">
      <c r="A66" s="81" t="s">
        <v>2526</v>
      </c>
      <c r="B66" s="80" t="s">
        <v>2221</v>
      </c>
      <c r="C66" s="80">
        <v>5</v>
      </c>
      <c r="D66" s="104">
        <v>0.0007666076635027178</v>
      </c>
      <c r="E66" s="104">
        <v>2.1934396469587045</v>
      </c>
      <c r="F66" s="80" t="s">
        <v>3370</v>
      </c>
      <c r="G66" s="80" t="b">
        <v>0</v>
      </c>
      <c r="H66" s="80" t="b">
        <v>0</v>
      </c>
      <c r="I66" s="80" t="b">
        <v>0</v>
      </c>
      <c r="J66" s="80" t="b">
        <v>0</v>
      </c>
      <c r="K66" s="80" t="b">
        <v>0</v>
      </c>
      <c r="L66" s="80" t="b">
        <v>0</v>
      </c>
    </row>
    <row r="67" spans="1:12" ht="15">
      <c r="A67" s="81" t="s">
        <v>2376</v>
      </c>
      <c r="B67" s="80" t="s">
        <v>2502</v>
      </c>
      <c r="C67" s="80">
        <v>5</v>
      </c>
      <c r="D67" s="104">
        <v>0.0007666076635027178</v>
      </c>
      <c r="E67" s="104">
        <v>3.01462552956755</v>
      </c>
      <c r="F67" s="80" t="s">
        <v>3370</v>
      </c>
      <c r="G67" s="80" t="b">
        <v>0</v>
      </c>
      <c r="H67" s="80" t="b">
        <v>0</v>
      </c>
      <c r="I67" s="80" t="b">
        <v>0</v>
      </c>
      <c r="J67" s="80" t="b">
        <v>0</v>
      </c>
      <c r="K67" s="80" t="b">
        <v>0</v>
      </c>
      <c r="L67" s="80" t="b">
        <v>0</v>
      </c>
    </row>
    <row r="68" spans="1:12" ht="15">
      <c r="A68" s="81" t="s">
        <v>2532</v>
      </c>
      <c r="B68" s="80" t="s">
        <v>2517</v>
      </c>
      <c r="C68" s="80">
        <v>5</v>
      </c>
      <c r="D68" s="104">
        <v>0.0007666076635027178</v>
      </c>
      <c r="E68" s="104">
        <v>3.2187455122234745</v>
      </c>
      <c r="F68" s="80" t="s">
        <v>3370</v>
      </c>
      <c r="G68" s="80" t="b">
        <v>0</v>
      </c>
      <c r="H68" s="80" t="b">
        <v>0</v>
      </c>
      <c r="I68" s="80" t="b">
        <v>0</v>
      </c>
      <c r="J68" s="80" t="b">
        <v>0</v>
      </c>
      <c r="K68" s="80" t="b">
        <v>0</v>
      </c>
      <c r="L68" s="80" t="b">
        <v>0</v>
      </c>
    </row>
    <row r="69" spans="1:12" ht="15">
      <c r="A69" s="81" t="s">
        <v>2228</v>
      </c>
      <c r="B69" s="80" t="s">
        <v>2297</v>
      </c>
      <c r="C69" s="80">
        <v>5</v>
      </c>
      <c r="D69" s="104">
        <v>0.0011841524689603156</v>
      </c>
      <c r="E69" s="104">
        <v>1.8473081948193737</v>
      </c>
      <c r="F69" s="80" t="s">
        <v>3370</v>
      </c>
      <c r="G69" s="80" t="b">
        <v>0</v>
      </c>
      <c r="H69" s="80" t="b">
        <v>0</v>
      </c>
      <c r="I69" s="80" t="b">
        <v>0</v>
      </c>
      <c r="J69" s="80" t="b">
        <v>0</v>
      </c>
      <c r="K69" s="80" t="b">
        <v>0</v>
      </c>
      <c r="L69" s="80" t="b">
        <v>0</v>
      </c>
    </row>
    <row r="70" spans="1:12" ht="15">
      <c r="A70" s="81" t="s">
        <v>2341</v>
      </c>
      <c r="B70" s="80" t="s">
        <v>2553</v>
      </c>
      <c r="C70" s="80">
        <v>5</v>
      </c>
      <c r="D70" s="104">
        <v>0.0007666076635027178</v>
      </c>
      <c r="E70" s="104">
        <v>2.9177155165594932</v>
      </c>
      <c r="F70" s="80" t="s">
        <v>3370</v>
      </c>
      <c r="G70" s="80" t="b">
        <v>0</v>
      </c>
      <c r="H70" s="80" t="b">
        <v>0</v>
      </c>
      <c r="I70" s="80" t="b">
        <v>0</v>
      </c>
      <c r="J70" s="80" t="b">
        <v>0</v>
      </c>
      <c r="K70" s="80" t="b">
        <v>0</v>
      </c>
      <c r="L70" s="80" t="b">
        <v>0</v>
      </c>
    </row>
    <row r="71" spans="1:12" ht="15">
      <c r="A71" s="81" t="s">
        <v>2435</v>
      </c>
      <c r="B71" s="80" t="s">
        <v>2249</v>
      </c>
      <c r="C71" s="80">
        <v>5</v>
      </c>
      <c r="D71" s="104">
        <v>0.0007666076635027178</v>
      </c>
      <c r="E71" s="104">
        <v>2.4768064344942755</v>
      </c>
      <c r="F71" s="80" t="s">
        <v>3370</v>
      </c>
      <c r="G71" s="80" t="b">
        <v>1</v>
      </c>
      <c r="H71" s="80" t="b">
        <v>0</v>
      </c>
      <c r="I71" s="80" t="b">
        <v>0</v>
      </c>
      <c r="J71" s="80" t="b">
        <v>0</v>
      </c>
      <c r="K71" s="80" t="b">
        <v>0</v>
      </c>
      <c r="L71" s="80" t="b">
        <v>0</v>
      </c>
    </row>
    <row r="72" spans="1:12" ht="15">
      <c r="A72" s="81" t="s">
        <v>2301</v>
      </c>
      <c r="B72" s="80" t="s">
        <v>2558</v>
      </c>
      <c r="C72" s="80">
        <v>5</v>
      </c>
      <c r="D72" s="104">
        <v>0.0007666076635027178</v>
      </c>
      <c r="E72" s="104">
        <v>2.7715874808812555</v>
      </c>
      <c r="F72" s="80" t="s">
        <v>3370</v>
      </c>
      <c r="G72" s="80" t="b">
        <v>0</v>
      </c>
      <c r="H72" s="80" t="b">
        <v>0</v>
      </c>
      <c r="I72" s="80" t="b">
        <v>0</v>
      </c>
      <c r="J72" s="80" t="b">
        <v>0</v>
      </c>
      <c r="K72" s="80" t="b">
        <v>0</v>
      </c>
      <c r="L72" s="80" t="b">
        <v>0</v>
      </c>
    </row>
    <row r="73" spans="1:12" ht="15">
      <c r="A73" s="81" t="s">
        <v>2347</v>
      </c>
      <c r="B73" s="80" t="s">
        <v>2282</v>
      </c>
      <c r="C73" s="80">
        <v>5</v>
      </c>
      <c r="D73" s="104">
        <v>0.0007666076635027178</v>
      </c>
      <c r="E73" s="104">
        <v>2.4125655382395874</v>
      </c>
      <c r="F73" s="80" t="s">
        <v>3370</v>
      </c>
      <c r="G73" s="80" t="b">
        <v>0</v>
      </c>
      <c r="H73" s="80" t="b">
        <v>0</v>
      </c>
      <c r="I73" s="80" t="b">
        <v>0</v>
      </c>
      <c r="J73" s="80" t="b">
        <v>0</v>
      </c>
      <c r="K73" s="80" t="b">
        <v>0</v>
      </c>
      <c r="L73" s="80" t="b">
        <v>0</v>
      </c>
    </row>
    <row r="74" spans="1:12" ht="15">
      <c r="A74" s="81" t="s">
        <v>2220</v>
      </c>
      <c r="B74" s="80" t="s">
        <v>2279</v>
      </c>
      <c r="C74" s="80">
        <v>5</v>
      </c>
      <c r="D74" s="104">
        <v>0.0008991337982795137</v>
      </c>
      <c r="E74" s="104">
        <v>1.6771662682768937</v>
      </c>
      <c r="F74" s="80" t="s">
        <v>3370</v>
      </c>
      <c r="G74" s="80" t="b">
        <v>0</v>
      </c>
      <c r="H74" s="80" t="b">
        <v>0</v>
      </c>
      <c r="I74" s="80" t="b">
        <v>0</v>
      </c>
      <c r="J74" s="80" t="b">
        <v>0</v>
      </c>
      <c r="K74" s="80" t="b">
        <v>0</v>
      </c>
      <c r="L74" s="80" t="b">
        <v>0</v>
      </c>
    </row>
    <row r="75" spans="1:12" ht="15">
      <c r="A75" s="81" t="s">
        <v>2303</v>
      </c>
      <c r="B75" s="80" t="s">
        <v>2529</v>
      </c>
      <c r="C75" s="80">
        <v>5</v>
      </c>
      <c r="D75" s="104">
        <v>0.0007666076635027178</v>
      </c>
      <c r="E75" s="104">
        <v>2.7715874808812555</v>
      </c>
      <c r="F75" s="80" t="s">
        <v>3370</v>
      </c>
      <c r="G75" s="80" t="b">
        <v>0</v>
      </c>
      <c r="H75" s="80" t="b">
        <v>0</v>
      </c>
      <c r="I75" s="80" t="b">
        <v>0</v>
      </c>
      <c r="J75" s="80" t="b">
        <v>0</v>
      </c>
      <c r="K75" s="80" t="b">
        <v>0</v>
      </c>
      <c r="L75" s="80" t="b">
        <v>0</v>
      </c>
    </row>
    <row r="76" spans="1:12" ht="15">
      <c r="A76" s="81" t="s">
        <v>2301</v>
      </c>
      <c r="B76" s="80" t="s">
        <v>2384</v>
      </c>
      <c r="C76" s="80">
        <v>5</v>
      </c>
      <c r="D76" s="104">
        <v>0.0007666076635027178</v>
      </c>
      <c r="E76" s="104">
        <v>2.5674674982253305</v>
      </c>
      <c r="F76" s="80" t="s">
        <v>3370</v>
      </c>
      <c r="G76" s="80" t="b">
        <v>0</v>
      </c>
      <c r="H76" s="80" t="b">
        <v>0</v>
      </c>
      <c r="I76" s="80" t="b">
        <v>0</v>
      </c>
      <c r="J76" s="80" t="b">
        <v>0</v>
      </c>
      <c r="K76" s="80" t="b">
        <v>0</v>
      </c>
      <c r="L76" s="80" t="b">
        <v>0</v>
      </c>
    </row>
    <row r="77" spans="1:12" ht="15">
      <c r="A77" s="81" t="s">
        <v>2388</v>
      </c>
      <c r="B77" s="80" t="s">
        <v>2255</v>
      </c>
      <c r="C77" s="80">
        <v>5</v>
      </c>
      <c r="D77" s="104">
        <v>0.0011841524689603156</v>
      </c>
      <c r="E77" s="104">
        <v>2.391376239169649</v>
      </c>
      <c r="F77" s="80" t="s">
        <v>3370</v>
      </c>
      <c r="G77" s="80" t="b">
        <v>0</v>
      </c>
      <c r="H77" s="80" t="b">
        <v>0</v>
      </c>
      <c r="I77" s="80" t="b">
        <v>0</v>
      </c>
      <c r="J77" s="80" t="b">
        <v>1</v>
      </c>
      <c r="K77" s="80" t="b">
        <v>0</v>
      </c>
      <c r="L77" s="80" t="b">
        <v>0</v>
      </c>
    </row>
    <row r="78" spans="1:12" ht="15">
      <c r="A78" s="81" t="s">
        <v>2553</v>
      </c>
      <c r="B78" s="80" t="s">
        <v>2540</v>
      </c>
      <c r="C78" s="80">
        <v>5</v>
      </c>
      <c r="D78" s="104">
        <v>0.0007666076635027178</v>
      </c>
      <c r="E78" s="104">
        <v>3.2187455122234745</v>
      </c>
      <c r="F78" s="80" t="s">
        <v>3370</v>
      </c>
      <c r="G78" s="80" t="b">
        <v>0</v>
      </c>
      <c r="H78" s="80" t="b">
        <v>0</v>
      </c>
      <c r="I78" s="80" t="b">
        <v>0</v>
      </c>
      <c r="J78" s="80" t="b">
        <v>0</v>
      </c>
      <c r="K78" s="80" t="b">
        <v>0</v>
      </c>
      <c r="L78" s="80" t="b">
        <v>0</v>
      </c>
    </row>
    <row r="79" spans="1:12" ht="15">
      <c r="A79" s="81" t="s">
        <v>2295</v>
      </c>
      <c r="B79" s="80" t="s">
        <v>2569</v>
      </c>
      <c r="C79" s="80">
        <v>5</v>
      </c>
      <c r="D79" s="104">
        <v>0.0007666076635027178</v>
      </c>
      <c r="E79" s="104">
        <v>2.7715874808812555</v>
      </c>
      <c r="F79" s="80" t="s">
        <v>3370</v>
      </c>
      <c r="G79" s="80" t="b">
        <v>0</v>
      </c>
      <c r="H79" s="80" t="b">
        <v>0</v>
      </c>
      <c r="I79" s="80" t="b">
        <v>0</v>
      </c>
      <c r="J79" s="80" t="b">
        <v>0</v>
      </c>
      <c r="K79" s="80" t="b">
        <v>0</v>
      </c>
      <c r="L79" s="80" t="b">
        <v>0</v>
      </c>
    </row>
    <row r="80" spans="1:12" ht="15">
      <c r="A80" s="81" t="s">
        <v>2347</v>
      </c>
      <c r="B80" s="80" t="s">
        <v>2305</v>
      </c>
      <c r="C80" s="80">
        <v>5</v>
      </c>
      <c r="D80" s="104">
        <v>0.0007666076635027178</v>
      </c>
      <c r="E80" s="104">
        <v>2.4705574852172743</v>
      </c>
      <c r="F80" s="80" t="s">
        <v>3370</v>
      </c>
      <c r="G80" s="80" t="b">
        <v>0</v>
      </c>
      <c r="H80" s="80" t="b">
        <v>0</v>
      </c>
      <c r="I80" s="80" t="b">
        <v>0</v>
      </c>
      <c r="J80" s="80" t="b">
        <v>0</v>
      </c>
      <c r="K80" s="80" t="b">
        <v>0</v>
      </c>
      <c r="L80" s="80" t="b">
        <v>0</v>
      </c>
    </row>
    <row r="81" spans="1:12" ht="15">
      <c r="A81" s="81" t="s">
        <v>2557</v>
      </c>
      <c r="B81" s="80" t="s">
        <v>2261</v>
      </c>
      <c r="C81" s="80">
        <v>5</v>
      </c>
      <c r="D81" s="104">
        <v>0.0007666076635027178</v>
      </c>
      <c r="E81" s="104">
        <v>2.6389619156066644</v>
      </c>
      <c r="F81" s="80" t="s">
        <v>3370</v>
      </c>
      <c r="G81" s="80" t="b">
        <v>0</v>
      </c>
      <c r="H81" s="80" t="b">
        <v>0</v>
      </c>
      <c r="I81" s="80" t="b">
        <v>0</v>
      </c>
      <c r="J81" s="80" t="b">
        <v>1</v>
      </c>
      <c r="K81" s="80" t="b">
        <v>0</v>
      </c>
      <c r="L81" s="80" t="b">
        <v>0</v>
      </c>
    </row>
    <row r="82" spans="1:12" ht="15">
      <c r="A82" s="81" t="s">
        <v>2558</v>
      </c>
      <c r="B82" s="80" t="s">
        <v>2295</v>
      </c>
      <c r="C82" s="80">
        <v>5</v>
      </c>
      <c r="D82" s="104">
        <v>0.0007666076635027178</v>
      </c>
      <c r="E82" s="104">
        <v>2.7715874808812555</v>
      </c>
      <c r="F82" s="80" t="s">
        <v>3370</v>
      </c>
      <c r="G82" s="80" t="b">
        <v>0</v>
      </c>
      <c r="H82" s="80" t="b">
        <v>0</v>
      </c>
      <c r="I82" s="80" t="b">
        <v>0</v>
      </c>
      <c r="J82" s="80" t="b">
        <v>0</v>
      </c>
      <c r="K82" s="80" t="b">
        <v>0</v>
      </c>
      <c r="L82" s="80" t="b">
        <v>0</v>
      </c>
    </row>
    <row r="83" spans="1:12" ht="15">
      <c r="A83" s="81" t="s">
        <v>2533</v>
      </c>
      <c r="B83" s="80" t="s">
        <v>2531</v>
      </c>
      <c r="C83" s="80">
        <v>5</v>
      </c>
      <c r="D83" s="104">
        <v>0.0007666076635027178</v>
      </c>
      <c r="E83" s="104">
        <v>3.2187455122234745</v>
      </c>
      <c r="F83" s="80" t="s">
        <v>3370</v>
      </c>
      <c r="G83" s="80" t="b">
        <v>0</v>
      </c>
      <c r="H83" s="80" t="b">
        <v>0</v>
      </c>
      <c r="I83" s="80" t="b">
        <v>0</v>
      </c>
      <c r="J83" s="80" t="b">
        <v>0</v>
      </c>
      <c r="K83" s="80" t="b">
        <v>0</v>
      </c>
      <c r="L83" s="80" t="b">
        <v>0</v>
      </c>
    </row>
    <row r="84" spans="1:12" ht="15">
      <c r="A84" s="81" t="s">
        <v>2517</v>
      </c>
      <c r="B84" s="80" t="s">
        <v>2296</v>
      </c>
      <c r="C84" s="80">
        <v>5</v>
      </c>
      <c r="D84" s="104">
        <v>0.0007666076635027178</v>
      </c>
      <c r="E84" s="104">
        <v>2.7715874808812555</v>
      </c>
      <c r="F84" s="80" t="s">
        <v>3370</v>
      </c>
      <c r="G84" s="80" t="b">
        <v>0</v>
      </c>
      <c r="H84" s="80" t="b">
        <v>0</v>
      </c>
      <c r="I84" s="80" t="b">
        <v>0</v>
      </c>
      <c r="J84" s="80" t="b">
        <v>0</v>
      </c>
      <c r="K84" s="80" t="b">
        <v>0</v>
      </c>
      <c r="L84" s="80" t="b">
        <v>0</v>
      </c>
    </row>
    <row r="85" spans="1:12" ht="15">
      <c r="A85" s="81" t="s">
        <v>2518</v>
      </c>
      <c r="B85" s="80" t="s">
        <v>2304</v>
      </c>
      <c r="C85" s="80">
        <v>5</v>
      </c>
      <c r="D85" s="104">
        <v>0.0007666076635027178</v>
      </c>
      <c r="E85" s="104">
        <v>2.7715874808812555</v>
      </c>
      <c r="F85" s="80" t="s">
        <v>3370</v>
      </c>
      <c r="G85" s="80" t="b">
        <v>0</v>
      </c>
      <c r="H85" s="80" t="b">
        <v>0</v>
      </c>
      <c r="I85" s="80" t="b">
        <v>0</v>
      </c>
      <c r="J85" s="80" t="b">
        <v>0</v>
      </c>
      <c r="K85" s="80" t="b">
        <v>0</v>
      </c>
      <c r="L85" s="80" t="b">
        <v>0</v>
      </c>
    </row>
    <row r="86" spans="1:12" ht="15">
      <c r="A86" s="81" t="s">
        <v>2216</v>
      </c>
      <c r="B86" s="80" t="s">
        <v>2249</v>
      </c>
      <c r="C86" s="80">
        <v>5</v>
      </c>
      <c r="D86" s="104">
        <v>0.0007666076635027178</v>
      </c>
      <c r="E86" s="104">
        <v>1.3411438324942027</v>
      </c>
      <c r="F86" s="80" t="s">
        <v>3370</v>
      </c>
      <c r="G86" s="80" t="b">
        <v>0</v>
      </c>
      <c r="H86" s="80" t="b">
        <v>0</v>
      </c>
      <c r="I86" s="80" t="b">
        <v>0</v>
      </c>
      <c r="J86" s="80" t="b">
        <v>0</v>
      </c>
      <c r="K86" s="80" t="b">
        <v>0</v>
      </c>
      <c r="L86" s="80" t="b">
        <v>0</v>
      </c>
    </row>
    <row r="87" spans="1:12" ht="15">
      <c r="A87" s="81" t="s">
        <v>2522</v>
      </c>
      <c r="B87" s="80" t="s">
        <v>2287</v>
      </c>
      <c r="C87" s="80">
        <v>5</v>
      </c>
      <c r="D87" s="104">
        <v>0.0007666076635027178</v>
      </c>
      <c r="E87" s="104">
        <v>2.7416242575038123</v>
      </c>
      <c r="F87" s="80" t="s">
        <v>3370</v>
      </c>
      <c r="G87" s="80" t="b">
        <v>0</v>
      </c>
      <c r="H87" s="80" t="b">
        <v>0</v>
      </c>
      <c r="I87" s="80" t="b">
        <v>0</v>
      </c>
      <c r="J87" s="80" t="b">
        <v>0</v>
      </c>
      <c r="K87" s="80" t="b">
        <v>0</v>
      </c>
      <c r="L87" s="80" t="b">
        <v>0</v>
      </c>
    </row>
    <row r="88" spans="1:12" ht="15">
      <c r="A88" s="81" t="s">
        <v>2499</v>
      </c>
      <c r="B88" s="80" t="s">
        <v>2453</v>
      </c>
      <c r="C88" s="80">
        <v>5</v>
      </c>
      <c r="D88" s="104">
        <v>0.0007666076635027178</v>
      </c>
      <c r="E88" s="104">
        <v>3.13956426617585</v>
      </c>
      <c r="F88" s="80" t="s">
        <v>3370</v>
      </c>
      <c r="G88" s="80" t="b">
        <v>0</v>
      </c>
      <c r="H88" s="80" t="b">
        <v>0</v>
      </c>
      <c r="I88" s="80" t="b">
        <v>0</v>
      </c>
      <c r="J88" s="80" t="b">
        <v>0</v>
      </c>
      <c r="K88" s="80" t="b">
        <v>0</v>
      </c>
      <c r="L88" s="80" t="b">
        <v>0</v>
      </c>
    </row>
    <row r="89" spans="1:12" ht="15">
      <c r="A89" s="81" t="s">
        <v>2531</v>
      </c>
      <c r="B89" s="80" t="s">
        <v>2522</v>
      </c>
      <c r="C89" s="80">
        <v>5</v>
      </c>
      <c r="D89" s="104">
        <v>0.0007666076635027178</v>
      </c>
      <c r="E89" s="104">
        <v>3.2187455122234745</v>
      </c>
      <c r="F89" s="80" t="s">
        <v>3370</v>
      </c>
      <c r="G89" s="80" t="b">
        <v>0</v>
      </c>
      <c r="H89" s="80" t="b">
        <v>0</v>
      </c>
      <c r="I89" s="80" t="b">
        <v>0</v>
      </c>
      <c r="J89" s="80" t="b">
        <v>0</v>
      </c>
      <c r="K89" s="80" t="b">
        <v>0</v>
      </c>
      <c r="L89" s="80" t="b">
        <v>0</v>
      </c>
    </row>
    <row r="90" spans="1:12" ht="15">
      <c r="A90" s="81" t="s">
        <v>2550</v>
      </c>
      <c r="B90" s="80" t="s">
        <v>2343</v>
      </c>
      <c r="C90" s="80">
        <v>5</v>
      </c>
      <c r="D90" s="104">
        <v>0.0007666076635027178</v>
      </c>
      <c r="E90" s="104">
        <v>2.9177155165594932</v>
      </c>
      <c r="F90" s="80" t="s">
        <v>3370</v>
      </c>
      <c r="G90" s="80" t="b">
        <v>0</v>
      </c>
      <c r="H90" s="80" t="b">
        <v>0</v>
      </c>
      <c r="I90" s="80" t="b">
        <v>0</v>
      </c>
      <c r="J90" s="80" t="b">
        <v>0</v>
      </c>
      <c r="K90" s="80" t="b">
        <v>0</v>
      </c>
      <c r="L90" s="80" t="b">
        <v>0</v>
      </c>
    </row>
    <row r="91" spans="1:12" ht="15">
      <c r="A91" s="81" t="s">
        <v>2361</v>
      </c>
      <c r="B91" s="80" t="s">
        <v>2218</v>
      </c>
      <c r="C91" s="80">
        <v>5</v>
      </c>
      <c r="D91" s="104">
        <v>0.0007666076635027178</v>
      </c>
      <c r="E91" s="104">
        <v>1.8495296548133318</v>
      </c>
      <c r="F91" s="80" t="s">
        <v>3370</v>
      </c>
      <c r="G91" s="80" t="b">
        <v>0</v>
      </c>
      <c r="H91" s="80" t="b">
        <v>0</v>
      </c>
      <c r="I91" s="80" t="b">
        <v>0</v>
      </c>
      <c r="J91" s="80" t="b">
        <v>0</v>
      </c>
      <c r="K91" s="80" t="b">
        <v>0</v>
      </c>
      <c r="L91" s="80" t="b">
        <v>0</v>
      </c>
    </row>
    <row r="92" spans="1:12" ht="15">
      <c r="A92" s="81" t="s">
        <v>2242</v>
      </c>
      <c r="B92" s="80" t="s">
        <v>2286</v>
      </c>
      <c r="C92" s="80">
        <v>5</v>
      </c>
      <c r="D92" s="104">
        <v>0.0007666076635027178</v>
      </c>
      <c r="E92" s="104">
        <v>1.9934362304976116</v>
      </c>
      <c r="F92" s="80" t="s">
        <v>3370</v>
      </c>
      <c r="G92" s="80" t="b">
        <v>0</v>
      </c>
      <c r="H92" s="80" t="b">
        <v>0</v>
      </c>
      <c r="I92" s="80" t="b">
        <v>0</v>
      </c>
      <c r="J92" s="80" t="b">
        <v>0</v>
      </c>
      <c r="K92" s="80" t="b">
        <v>0</v>
      </c>
      <c r="L92" s="80" t="b">
        <v>0</v>
      </c>
    </row>
    <row r="93" spans="1:12" ht="15">
      <c r="A93" s="81" t="s">
        <v>2286</v>
      </c>
      <c r="B93" s="80" t="s">
        <v>2282</v>
      </c>
      <c r="C93" s="80">
        <v>5</v>
      </c>
      <c r="D93" s="104">
        <v>0.0007666076635027178</v>
      </c>
      <c r="E93" s="104">
        <v>2.3333842921919627</v>
      </c>
      <c r="F93" s="80" t="s">
        <v>3370</v>
      </c>
      <c r="G93" s="80" t="b">
        <v>0</v>
      </c>
      <c r="H93" s="80" t="b">
        <v>0</v>
      </c>
      <c r="I93" s="80" t="b">
        <v>0</v>
      </c>
      <c r="J93" s="80" t="b">
        <v>0</v>
      </c>
      <c r="K93" s="80" t="b">
        <v>0</v>
      </c>
      <c r="L93" s="80" t="b">
        <v>0</v>
      </c>
    </row>
    <row r="94" spans="1:12" ht="15">
      <c r="A94" s="81" t="s">
        <v>2449</v>
      </c>
      <c r="B94" s="80" t="s">
        <v>2342</v>
      </c>
      <c r="C94" s="80">
        <v>5</v>
      </c>
      <c r="D94" s="104">
        <v>0.0011841524689603156</v>
      </c>
      <c r="E94" s="104">
        <v>2.8385342705118686</v>
      </c>
      <c r="F94" s="80" t="s">
        <v>3370</v>
      </c>
      <c r="G94" s="80" t="b">
        <v>0</v>
      </c>
      <c r="H94" s="80" t="b">
        <v>0</v>
      </c>
      <c r="I94" s="80" t="b">
        <v>0</v>
      </c>
      <c r="J94" s="80" t="b">
        <v>1</v>
      </c>
      <c r="K94" s="80" t="b">
        <v>0</v>
      </c>
      <c r="L94" s="80" t="b">
        <v>0</v>
      </c>
    </row>
    <row r="95" spans="1:12" ht="15">
      <c r="A95" s="81" t="s">
        <v>2261</v>
      </c>
      <c r="B95" s="80" t="s">
        <v>2523</v>
      </c>
      <c r="C95" s="80">
        <v>5</v>
      </c>
      <c r="D95" s="104">
        <v>0.0007666076635027178</v>
      </c>
      <c r="E95" s="104">
        <v>2.6389619156066644</v>
      </c>
      <c r="F95" s="80" t="s">
        <v>3370</v>
      </c>
      <c r="G95" s="80" t="b">
        <v>1</v>
      </c>
      <c r="H95" s="80" t="b">
        <v>0</v>
      </c>
      <c r="I95" s="80" t="b">
        <v>0</v>
      </c>
      <c r="J95" s="80" t="b">
        <v>0</v>
      </c>
      <c r="K95" s="80" t="b">
        <v>0</v>
      </c>
      <c r="L95" s="80" t="b">
        <v>0</v>
      </c>
    </row>
    <row r="96" spans="1:12" ht="15">
      <c r="A96" s="81" t="s">
        <v>2261</v>
      </c>
      <c r="B96" s="80" t="s">
        <v>2301</v>
      </c>
      <c r="C96" s="80">
        <v>5</v>
      </c>
      <c r="D96" s="104">
        <v>0.0007666076635027178</v>
      </c>
      <c r="E96" s="104">
        <v>2.1918038842644454</v>
      </c>
      <c r="F96" s="80" t="s">
        <v>3370</v>
      </c>
      <c r="G96" s="80" t="b">
        <v>1</v>
      </c>
      <c r="H96" s="80" t="b">
        <v>0</v>
      </c>
      <c r="I96" s="80" t="b">
        <v>0</v>
      </c>
      <c r="J96" s="80" t="b">
        <v>0</v>
      </c>
      <c r="K96" s="80" t="b">
        <v>0</v>
      </c>
      <c r="L96" s="80" t="b">
        <v>0</v>
      </c>
    </row>
    <row r="97" spans="1:12" ht="15">
      <c r="A97" s="81" t="s">
        <v>2529</v>
      </c>
      <c r="B97" s="80" t="s">
        <v>2246</v>
      </c>
      <c r="C97" s="80">
        <v>5</v>
      </c>
      <c r="D97" s="104">
        <v>0.0007666076635027178</v>
      </c>
      <c r="E97" s="104">
        <v>2.5197755078874557</v>
      </c>
      <c r="F97" s="80" t="s">
        <v>3370</v>
      </c>
      <c r="G97" s="80" t="b">
        <v>0</v>
      </c>
      <c r="H97" s="80" t="b">
        <v>0</v>
      </c>
      <c r="I97" s="80" t="b">
        <v>0</v>
      </c>
      <c r="J97" s="80" t="b">
        <v>0</v>
      </c>
      <c r="K97" s="80" t="b">
        <v>0</v>
      </c>
      <c r="L97" s="80" t="b">
        <v>0</v>
      </c>
    </row>
    <row r="98" spans="1:12" ht="15">
      <c r="A98" s="81" t="s">
        <v>2287</v>
      </c>
      <c r="B98" s="80" t="s">
        <v>2537</v>
      </c>
      <c r="C98" s="80">
        <v>5</v>
      </c>
      <c r="D98" s="104">
        <v>0.0007666076635027178</v>
      </c>
      <c r="E98" s="104">
        <v>2.7416242575038123</v>
      </c>
      <c r="F98" s="80" t="s">
        <v>3370</v>
      </c>
      <c r="G98" s="80" t="b">
        <v>0</v>
      </c>
      <c r="H98" s="80" t="b">
        <v>0</v>
      </c>
      <c r="I98" s="80" t="b">
        <v>0</v>
      </c>
      <c r="J98" s="80" t="b">
        <v>0</v>
      </c>
      <c r="K98" s="80" t="b">
        <v>0</v>
      </c>
      <c r="L98" s="80" t="b">
        <v>0</v>
      </c>
    </row>
    <row r="99" spans="1:12" ht="15">
      <c r="A99" s="81" t="s">
        <v>2540</v>
      </c>
      <c r="B99" s="80" t="s">
        <v>2533</v>
      </c>
      <c r="C99" s="80">
        <v>5</v>
      </c>
      <c r="D99" s="104">
        <v>0.0007666076635027178</v>
      </c>
      <c r="E99" s="104">
        <v>3.2187455122234745</v>
      </c>
      <c r="F99" s="80" t="s">
        <v>3370</v>
      </c>
      <c r="G99" s="80" t="b">
        <v>0</v>
      </c>
      <c r="H99" s="80" t="b">
        <v>0</v>
      </c>
      <c r="I99" s="80" t="b">
        <v>0</v>
      </c>
      <c r="J99" s="80" t="b">
        <v>0</v>
      </c>
      <c r="K99" s="80" t="b">
        <v>0</v>
      </c>
      <c r="L99" s="80" t="b">
        <v>0</v>
      </c>
    </row>
    <row r="100" spans="1:12" ht="15">
      <c r="A100" s="81" t="s">
        <v>2283</v>
      </c>
      <c r="B100" s="80" t="s">
        <v>2309</v>
      </c>
      <c r="C100" s="80">
        <v>5</v>
      </c>
      <c r="D100" s="104">
        <v>0.0007666076635027178</v>
      </c>
      <c r="E100" s="104">
        <v>2.326650909532994</v>
      </c>
      <c r="F100" s="80" t="s">
        <v>3370</v>
      </c>
      <c r="G100" s="80" t="b">
        <v>0</v>
      </c>
      <c r="H100" s="80" t="b">
        <v>0</v>
      </c>
      <c r="I100" s="80" t="b">
        <v>0</v>
      </c>
      <c r="J100" s="80" t="b">
        <v>0</v>
      </c>
      <c r="K100" s="80" t="b">
        <v>0</v>
      </c>
      <c r="L100" s="80" t="b">
        <v>0</v>
      </c>
    </row>
    <row r="101" spans="1:12" ht="15">
      <c r="A101" s="81" t="s">
        <v>2561</v>
      </c>
      <c r="B101" s="80" t="s">
        <v>2217</v>
      </c>
      <c r="C101" s="80">
        <v>5</v>
      </c>
      <c r="D101" s="104">
        <v>0.0007666076635027178</v>
      </c>
      <c r="E101" s="104">
        <v>2.085206603853257</v>
      </c>
      <c r="F101" s="80" t="s">
        <v>3370</v>
      </c>
      <c r="G101" s="80" t="b">
        <v>0</v>
      </c>
      <c r="H101" s="80" t="b">
        <v>0</v>
      </c>
      <c r="I101" s="80" t="b">
        <v>0</v>
      </c>
      <c r="J101" s="80" t="b">
        <v>0</v>
      </c>
      <c r="K101" s="80" t="b">
        <v>0</v>
      </c>
      <c r="L101" s="80" t="b">
        <v>0</v>
      </c>
    </row>
    <row r="102" spans="1:12" ht="15">
      <c r="A102" s="81" t="s">
        <v>2318</v>
      </c>
      <c r="B102" s="80" t="s">
        <v>2244</v>
      </c>
      <c r="C102" s="80">
        <v>5</v>
      </c>
      <c r="D102" s="104">
        <v>0.0007666076635027178</v>
      </c>
      <c r="E102" s="104">
        <v>2.055584137246456</v>
      </c>
      <c r="F102" s="80" t="s">
        <v>3370</v>
      </c>
      <c r="G102" s="80" t="b">
        <v>0</v>
      </c>
      <c r="H102" s="80" t="b">
        <v>0</v>
      </c>
      <c r="I102" s="80" t="b">
        <v>0</v>
      </c>
      <c r="J102" s="80" t="b">
        <v>0</v>
      </c>
      <c r="K102" s="80" t="b">
        <v>0</v>
      </c>
      <c r="L102" s="80" t="b">
        <v>0</v>
      </c>
    </row>
    <row r="103" spans="1:12" ht="15">
      <c r="A103" s="81" t="s">
        <v>2279</v>
      </c>
      <c r="B103" s="80" t="s">
        <v>2213</v>
      </c>
      <c r="C103" s="80">
        <v>5</v>
      </c>
      <c r="D103" s="104">
        <v>0.0007666076635027178</v>
      </c>
      <c r="E103" s="104">
        <v>1.355660686903115</v>
      </c>
      <c r="F103" s="80" t="s">
        <v>3370</v>
      </c>
      <c r="G103" s="80" t="b">
        <v>0</v>
      </c>
      <c r="H103" s="80" t="b">
        <v>0</v>
      </c>
      <c r="I103" s="80" t="b">
        <v>0</v>
      </c>
      <c r="J103" s="80" t="b">
        <v>0</v>
      </c>
      <c r="K103" s="80" t="b">
        <v>0</v>
      </c>
      <c r="L103" s="80" t="b">
        <v>0</v>
      </c>
    </row>
    <row r="104" spans="1:12" ht="15">
      <c r="A104" s="81" t="s">
        <v>2384</v>
      </c>
      <c r="B104" s="80" t="s">
        <v>2301</v>
      </c>
      <c r="C104" s="80">
        <v>5</v>
      </c>
      <c r="D104" s="104">
        <v>0.0007666076635027178</v>
      </c>
      <c r="E104" s="104">
        <v>2.5674674982253305</v>
      </c>
      <c r="F104" s="80" t="s">
        <v>3370</v>
      </c>
      <c r="G104" s="80" t="b">
        <v>0</v>
      </c>
      <c r="H104" s="80" t="b">
        <v>0</v>
      </c>
      <c r="I104" s="80" t="b">
        <v>0</v>
      </c>
      <c r="J104" s="80" t="b">
        <v>0</v>
      </c>
      <c r="K104" s="80" t="b">
        <v>0</v>
      </c>
      <c r="L104" s="80" t="b">
        <v>0</v>
      </c>
    </row>
    <row r="105" spans="1:12" ht="15">
      <c r="A105" s="81" t="s">
        <v>2298</v>
      </c>
      <c r="B105" s="80" t="s">
        <v>2436</v>
      </c>
      <c r="C105" s="80">
        <v>5</v>
      </c>
      <c r="D105" s="104">
        <v>0.0010043257093044129</v>
      </c>
      <c r="E105" s="104">
        <v>2.6924062348336304</v>
      </c>
      <c r="F105" s="80" t="s">
        <v>3370</v>
      </c>
      <c r="G105" s="80" t="b">
        <v>0</v>
      </c>
      <c r="H105" s="80" t="b">
        <v>0</v>
      </c>
      <c r="I105" s="80" t="b">
        <v>0</v>
      </c>
      <c r="J105" s="80" t="b">
        <v>0</v>
      </c>
      <c r="K105" s="80" t="b">
        <v>0</v>
      </c>
      <c r="L105" s="80" t="b">
        <v>0</v>
      </c>
    </row>
    <row r="106" spans="1:12" ht="15">
      <c r="A106" s="81" t="s">
        <v>2534</v>
      </c>
      <c r="B106" s="80" t="s">
        <v>2532</v>
      </c>
      <c r="C106" s="80">
        <v>5</v>
      </c>
      <c r="D106" s="104">
        <v>0.0007666076635027178</v>
      </c>
      <c r="E106" s="104">
        <v>3.2187455122234745</v>
      </c>
      <c r="F106" s="80" t="s">
        <v>3370</v>
      </c>
      <c r="G106" s="80" t="b">
        <v>0</v>
      </c>
      <c r="H106" s="80" t="b">
        <v>0</v>
      </c>
      <c r="I106" s="80" t="b">
        <v>0</v>
      </c>
      <c r="J106" s="80" t="b">
        <v>0</v>
      </c>
      <c r="K106" s="80" t="b">
        <v>0</v>
      </c>
      <c r="L106" s="80" t="b">
        <v>0</v>
      </c>
    </row>
    <row r="107" spans="1:12" ht="15">
      <c r="A107" s="81" t="s">
        <v>2275</v>
      </c>
      <c r="B107" s="80" t="s">
        <v>2242</v>
      </c>
      <c r="C107" s="80">
        <v>5</v>
      </c>
      <c r="D107" s="104">
        <v>0.0007666076635027178</v>
      </c>
      <c r="E107" s="104">
        <v>1.9654075068973682</v>
      </c>
      <c r="F107" s="80" t="s">
        <v>3370</v>
      </c>
      <c r="G107" s="80" t="b">
        <v>0</v>
      </c>
      <c r="H107" s="80" t="b">
        <v>0</v>
      </c>
      <c r="I107" s="80" t="b">
        <v>0</v>
      </c>
      <c r="J107" s="80" t="b">
        <v>0</v>
      </c>
      <c r="K107" s="80" t="b">
        <v>0</v>
      </c>
      <c r="L107" s="80" t="b">
        <v>0</v>
      </c>
    </row>
    <row r="108" spans="1:12" ht="15">
      <c r="A108" s="81" t="s">
        <v>2341</v>
      </c>
      <c r="B108" s="80" t="s">
        <v>2318</v>
      </c>
      <c r="C108" s="80">
        <v>5</v>
      </c>
      <c r="D108" s="104">
        <v>0.0007666076635027178</v>
      </c>
      <c r="E108" s="104">
        <v>2.5027421685886755</v>
      </c>
      <c r="F108" s="80" t="s">
        <v>3370</v>
      </c>
      <c r="G108" s="80" t="b">
        <v>0</v>
      </c>
      <c r="H108" s="80" t="b">
        <v>0</v>
      </c>
      <c r="I108" s="80" t="b">
        <v>0</v>
      </c>
      <c r="J108" s="80" t="b">
        <v>0</v>
      </c>
      <c r="K108" s="80" t="b">
        <v>0</v>
      </c>
      <c r="L108" s="80" t="b">
        <v>0</v>
      </c>
    </row>
    <row r="109" spans="1:12" ht="15">
      <c r="A109" s="81" t="s">
        <v>2343</v>
      </c>
      <c r="B109" s="80" t="s">
        <v>2555</v>
      </c>
      <c r="C109" s="80">
        <v>5</v>
      </c>
      <c r="D109" s="104">
        <v>0.0007666076635027178</v>
      </c>
      <c r="E109" s="104">
        <v>2.9177155165594932</v>
      </c>
      <c r="F109" s="80" t="s">
        <v>3370</v>
      </c>
      <c r="G109" s="80" t="b">
        <v>0</v>
      </c>
      <c r="H109" s="80" t="b">
        <v>0</v>
      </c>
      <c r="I109" s="80" t="b">
        <v>0</v>
      </c>
      <c r="J109" s="80" t="b">
        <v>0</v>
      </c>
      <c r="K109" s="80" t="b">
        <v>0</v>
      </c>
      <c r="L109" s="80" t="b">
        <v>0</v>
      </c>
    </row>
    <row r="110" spans="1:12" ht="15">
      <c r="A110" s="81" t="s">
        <v>2494</v>
      </c>
      <c r="B110" s="80" t="s">
        <v>2497</v>
      </c>
      <c r="C110" s="80">
        <v>5</v>
      </c>
      <c r="D110" s="104">
        <v>0.0007666076635027178</v>
      </c>
      <c r="E110" s="104">
        <v>3.2187455122234745</v>
      </c>
      <c r="F110" s="80" t="s">
        <v>3370</v>
      </c>
      <c r="G110" s="80" t="b">
        <v>0</v>
      </c>
      <c r="H110" s="80" t="b">
        <v>0</v>
      </c>
      <c r="I110" s="80" t="b">
        <v>0</v>
      </c>
      <c r="J110" s="80" t="b">
        <v>0</v>
      </c>
      <c r="K110" s="80" t="b">
        <v>0</v>
      </c>
      <c r="L110" s="80" t="b">
        <v>0</v>
      </c>
    </row>
    <row r="111" spans="1:12" ht="15">
      <c r="A111" s="81" t="s">
        <v>2453</v>
      </c>
      <c r="B111" s="80" t="s">
        <v>2526</v>
      </c>
      <c r="C111" s="80">
        <v>5</v>
      </c>
      <c r="D111" s="104">
        <v>0.0007666076635027178</v>
      </c>
      <c r="E111" s="104">
        <v>3.13956426617585</v>
      </c>
      <c r="F111" s="80" t="s">
        <v>3370</v>
      </c>
      <c r="G111" s="80" t="b">
        <v>0</v>
      </c>
      <c r="H111" s="80" t="b">
        <v>0</v>
      </c>
      <c r="I111" s="80" t="b">
        <v>0</v>
      </c>
      <c r="J111" s="80" t="b">
        <v>0</v>
      </c>
      <c r="K111" s="80" t="b">
        <v>0</v>
      </c>
      <c r="L111" s="80" t="b">
        <v>0</v>
      </c>
    </row>
    <row r="112" spans="1:12" ht="15">
      <c r="A112" s="81" t="s">
        <v>2215</v>
      </c>
      <c r="B112" s="80" t="s">
        <v>2294</v>
      </c>
      <c r="C112" s="80">
        <v>5</v>
      </c>
      <c r="D112" s="104">
        <v>0.0007666076635027178</v>
      </c>
      <c r="E112" s="104">
        <v>1.5115160928961806</v>
      </c>
      <c r="F112" s="80" t="s">
        <v>3370</v>
      </c>
      <c r="G112" s="80" t="b">
        <v>0</v>
      </c>
      <c r="H112" s="80" t="b">
        <v>0</v>
      </c>
      <c r="I112" s="80" t="b">
        <v>0</v>
      </c>
      <c r="J112" s="80" t="b">
        <v>0</v>
      </c>
      <c r="K112" s="80" t="b">
        <v>0</v>
      </c>
      <c r="L112" s="80" t="b">
        <v>0</v>
      </c>
    </row>
    <row r="113" spans="1:12" ht="15">
      <c r="A113" s="81" t="s">
        <v>2502</v>
      </c>
      <c r="B113" s="80" t="s">
        <v>2303</v>
      </c>
      <c r="C113" s="80">
        <v>5</v>
      </c>
      <c r="D113" s="104">
        <v>0.0007666076635027178</v>
      </c>
      <c r="E113" s="104">
        <v>2.7715874808812555</v>
      </c>
      <c r="F113" s="80" t="s">
        <v>3370</v>
      </c>
      <c r="G113" s="80" t="b">
        <v>0</v>
      </c>
      <c r="H113" s="80" t="b">
        <v>0</v>
      </c>
      <c r="I113" s="80" t="b">
        <v>0</v>
      </c>
      <c r="J113" s="80" t="b">
        <v>0</v>
      </c>
      <c r="K113" s="80" t="b">
        <v>0</v>
      </c>
      <c r="L113" s="80" t="b">
        <v>0</v>
      </c>
    </row>
    <row r="114" spans="1:12" ht="15">
      <c r="A114" s="81" t="s">
        <v>2246</v>
      </c>
      <c r="B114" s="80" t="s">
        <v>2527</v>
      </c>
      <c r="C114" s="80">
        <v>5</v>
      </c>
      <c r="D114" s="104">
        <v>0.0007666076635027178</v>
      </c>
      <c r="E114" s="104">
        <v>2.5375042748478873</v>
      </c>
      <c r="F114" s="80" t="s">
        <v>3370</v>
      </c>
      <c r="G114" s="80" t="b">
        <v>0</v>
      </c>
      <c r="H114" s="80" t="b">
        <v>0</v>
      </c>
      <c r="I114" s="80" t="b">
        <v>0</v>
      </c>
      <c r="J114" s="80" t="b">
        <v>0</v>
      </c>
      <c r="K114" s="80" t="b">
        <v>0</v>
      </c>
      <c r="L114" s="80" t="b">
        <v>0</v>
      </c>
    </row>
    <row r="115" spans="1:12" ht="15">
      <c r="A115" s="81" t="s">
        <v>2527</v>
      </c>
      <c r="B115" s="80" t="s">
        <v>2557</v>
      </c>
      <c r="C115" s="80">
        <v>5</v>
      </c>
      <c r="D115" s="104">
        <v>0.0007666076635027178</v>
      </c>
      <c r="E115" s="104">
        <v>3.2187455122234745</v>
      </c>
      <c r="F115" s="80" t="s">
        <v>3370</v>
      </c>
      <c r="G115" s="80" t="b">
        <v>0</v>
      </c>
      <c r="H115" s="80" t="b">
        <v>0</v>
      </c>
      <c r="I115" s="80" t="b">
        <v>0</v>
      </c>
      <c r="J115" s="80" t="b">
        <v>0</v>
      </c>
      <c r="K115" s="80" t="b">
        <v>0</v>
      </c>
      <c r="L115" s="80" t="b">
        <v>0</v>
      </c>
    </row>
    <row r="116" spans="1:12" ht="15">
      <c r="A116" s="81" t="s">
        <v>2295</v>
      </c>
      <c r="B116" s="80" t="s">
        <v>2554</v>
      </c>
      <c r="C116" s="80">
        <v>5</v>
      </c>
      <c r="D116" s="104">
        <v>0.0007666076635027178</v>
      </c>
      <c r="E116" s="104">
        <v>2.7715874808812555</v>
      </c>
      <c r="F116" s="80" t="s">
        <v>3370</v>
      </c>
      <c r="G116" s="80" t="b">
        <v>0</v>
      </c>
      <c r="H116" s="80" t="b">
        <v>0</v>
      </c>
      <c r="I116" s="80" t="b">
        <v>0</v>
      </c>
      <c r="J116" s="80" t="b">
        <v>1</v>
      </c>
      <c r="K116" s="80" t="b">
        <v>0</v>
      </c>
      <c r="L116" s="80" t="b">
        <v>0</v>
      </c>
    </row>
    <row r="117" spans="1:12" ht="15">
      <c r="A117" s="81" t="s">
        <v>2214</v>
      </c>
      <c r="B117" s="80" t="s">
        <v>2242</v>
      </c>
      <c r="C117" s="80">
        <v>5</v>
      </c>
      <c r="D117" s="104">
        <v>0.0007666076635027178</v>
      </c>
      <c r="E117" s="104">
        <v>1.1126226382168205</v>
      </c>
      <c r="F117" s="80" t="s">
        <v>3370</v>
      </c>
      <c r="G117" s="80" t="b">
        <v>0</v>
      </c>
      <c r="H117" s="80" t="b">
        <v>0</v>
      </c>
      <c r="I117" s="80" t="b">
        <v>0</v>
      </c>
      <c r="J117" s="80" t="b">
        <v>0</v>
      </c>
      <c r="K117" s="80" t="b">
        <v>0</v>
      </c>
      <c r="L117" s="80" t="b">
        <v>0</v>
      </c>
    </row>
    <row r="118" spans="1:12" ht="15">
      <c r="A118" s="81" t="s">
        <v>2244</v>
      </c>
      <c r="B118" s="80" t="s">
        <v>2341</v>
      </c>
      <c r="C118" s="80">
        <v>5</v>
      </c>
      <c r="D118" s="104">
        <v>0.0007666076635027178</v>
      </c>
      <c r="E118" s="104">
        <v>2.169527489553293</v>
      </c>
      <c r="F118" s="80" t="s">
        <v>3370</v>
      </c>
      <c r="G118" s="80" t="b">
        <v>0</v>
      </c>
      <c r="H118" s="80" t="b">
        <v>0</v>
      </c>
      <c r="I118" s="80" t="b">
        <v>0</v>
      </c>
      <c r="J118" s="80" t="b">
        <v>0</v>
      </c>
      <c r="K118" s="80" t="b">
        <v>0</v>
      </c>
      <c r="L118" s="80" t="b">
        <v>0</v>
      </c>
    </row>
    <row r="119" spans="1:12" ht="15">
      <c r="A119" s="81" t="s">
        <v>2257</v>
      </c>
      <c r="B119" s="80" t="s">
        <v>2239</v>
      </c>
      <c r="C119" s="80">
        <v>5</v>
      </c>
      <c r="D119" s="104">
        <v>0.0007666076635027178</v>
      </c>
      <c r="E119" s="104">
        <v>1.8320682282626368</v>
      </c>
      <c r="F119" s="80" t="s">
        <v>3370</v>
      </c>
      <c r="G119" s="80" t="b">
        <v>0</v>
      </c>
      <c r="H119" s="80" t="b">
        <v>0</v>
      </c>
      <c r="I119" s="80" t="b">
        <v>0</v>
      </c>
      <c r="J119" s="80" t="b">
        <v>0</v>
      </c>
      <c r="K119" s="80" t="b">
        <v>0</v>
      </c>
      <c r="L119" s="80" t="b">
        <v>0</v>
      </c>
    </row>
    <row r="120" spans="1:12" ht="15">
      <c r="A120" s="81" t="s">
        <v>2248</v>
      </c>
      <c r="B120" s="80" t="s">
        <v>2380</v>
      </c>
      <c r="C120" s="80">
        <v>5</v>
      </c>
      <c r="D120" s="104">
        <v>0.0008991337982795137</v>
      </c>
      <c r="E120" s="104">
        <v>2.3333842921919627</v>
      </c>
      <c r="F120" s="80" t="s">
        <v>3370</v>
      </c>
      <c r="G120" s="80" t="b">
        <v>0</v>
      </c>
      <c r="H120" s="80" t="b">
        <v>0</v>
      </c>
      <c r="I120" s="80" t="b">
        <v>0</v>
      </c>
      <c r="J120" s="80" t="b">
        <v>0</v>
      </c>
      <c r="K120" s="80" t="b">
        <v>0</v>
      </c>
      <c r="L120" s="80" t="b">
        <v>0</v>
      </c>
    </row>
    <row r="121" spans="1:12" ht="15">
      <c r="A121" s="81" t="s">
        <v>2564</v>
      </c>
      <c r="B121" s="80" t="s">
        <v>2236</v>
      </c>
      <c r="C121" s="80">
        <v>5</v>
      </c>
      <c r="D121" s="104">
        <v>0.0007666076635027178</v>
      </c>
      <c r="E121" s="104">
        <v>2.4125655382395874</v>
      </c>
      <c r="F121" s="80" t="s">
        <v>3370</v>
      </c>
      <c r="G121" s="80" t="b">
        <v>1</v>
      </c>
      <c r="H121" s="80" t="b">
        <v>0</v>
      </c>
      <c r="I121" s="80" t="b">
        <v>0</v>
      </c>
      <c r="J121" s="80" t="b">
        <v>0</v>
      </c>
      <c r="K121" s="80" t="b">
        <v>0</v>
      </c>
      <c r="L121" s="80" t="b">
        <v>0</v>
      </c>
    </row>
    <row r="122" spans="1:12" ht="15">
      <c r="A122" s="81" t="s">
        <v>2230</v>
      </c>
      <c r="B122" s="80" t="s">
        <v>2361</v>
      </c>
      <c r="C122" s="80">
        <v>5</v>
      </c>
      <c r="D122" s="104">
        <v>0.0007666076635027178</v>
      </c>
      <c r="E122" s="104">
        <v>2.0496591547364518</v>
      </c>
      <c r="F122" s="80" t="s">
        <v>3370</v>
      </c>
      <c r="G122" s="80" t="b">
        <v>0</v>
      </c>
      <c r="H122" s="80" t="b">
        <v>0</v>
      </c>
      <c r="I122" s="80" t="b">
        <v>0</v>
      </c>
      <c r="J122" s="80" t="b">
        <v>0</v>
      </c>
      <c r="K122" s="80" t="b">
        <v>0</v>
      </c>
      <c r="L122" s="80" t="b">
        <v>0</v>
      </c>
    </row>
    <row r="123" spans="1:12" ht="15">
      <c r="A123" s="81" t="s">
        <v>2554</v>
      </c>
      <c r="B123" s="80" t="s">
        <v>2564</v>
      </c>
      <c r="C123" s="80">
        <v>5</v>
      </c>
      <c r="D123" s="104">
        <v>0.0007666076635027178</v>
      </c>
      <c r="E123" s="104">
        <v>3.2187455122234745</v>
      </c>
      <c r="F123" s="80" t="s">
        <v>3370</v>
      </c>
      <c r="G123" s="80" t="b">
        <v>1</v>
      </c>
      <c r="H123" s="80" t="b">
        <v>0</v>
      </c>
      <c r="I123" s="80" t="b">
        <v>0</v>
      </c>
      <c r="J123" s="80" t="b">
        <v>1</v>
      </c>
      <c r="K123" s="80" t="b">
        <v>0</v>
      </c>
      <c r="L123" s="80" t="b">
        <v>0</v>
      </c>
    </row>
    <row r="124" spans="1:12" ht="15">
      <c r="A124" s="81" t="s">
        <v>2555</v>
      </c>
      <c r="B124" s="80" t="s">
        <v>2534</v>
      </c>
      <c r="C124" s="80">
        <v>5</v>
      </c>
      <c r="D124" s="104">
        <v>0.0007666076635027178</v>
      </c>
      <c r="E124" s="104">
        <v>3.2187455122234745</v>
      </c>
      <c r="F124" s="80" t="s">
        <v>3370</v>
      </c>
      <c r="G124" s="80" t="b">
        <v>0</v>
      </c>
      <c r="H124" s="80" t="b">
        <v>0</v>
      </c>
      <c r="I124" s="80" t="b">
        <v>0</v>
      </c>
      <c r="J124" s="80" t="b">
        <v>0</v>
      </c>
      <c r="K124" s="80" t="b">
        <v>0</v>
      </c>
      <c r="L124" s="80" t="b">
        <v>0</v>
      </c>
    </row>
    <row r="125" spans="1:12" ht="15">
      <c r="A125" s="81" t="s">
        <v>2226</v>
      </c>
      <c r="B125" s="80" t="s">
        <v>2232</v>
      </c>
      <c r="C125" s="80">
        <v>5</v>
      </c>
      <c r="D125" s="104">
        <v>0.0007666076635027178</v>
      </c>
      <c r="E125" s="104">
        <v>1.4131087459175395</v>
      </c>
      <c r="F125" s="80" t="s">
        <v>3370</v>
      </c>
      <c r="G125" s="80" t="b">
        <v>0</v>
      </c>
      <c r="H125" s="80" t="b">
        <v>0</v>
      </c>
      <c r="I125" s="80" t="b">
        <v>0</v>
      </c>
      <c r="J125" s="80" t="b">
        <v>0</v>
      </c>
      <c r="K125" s="80" t="b">
        <v>0</v>
      </c>
      <c r="L125" s="80" t="b">
        <v>0</v>
      </c>
    </row>
    <row r="126" spans="1:12" ht="15">
      <c r="A126" s="81" t="s">
        <v>2304</v>
      </c>
      <c r="B126" s="80" t="s">
        <v>2281</v>
      </c>
      <c r="C126" s="80">
        <v>5</v>
      </c>
      <c r="D126" s="104">
        <v>0.0007666076635027178</v>
      </c>
      <c r="E126" s="104">
        <v>2.294466226161593</v>
      </c>
      <c r="F126" s="80" t="s">
        <v>3370</v>
      </c>
      <c r="G126" s="80" t="b">
        <v>0</v>
      </c>
      <c r="H126" s="80" t="b">
        <v>0</v>
      </c>
      <c r="I126" s="80" t="b">
        <v>0</v>
      </c>
      <c r="J126" s="80" t="b">
        <v>0</v>
      </c>
      <c r="K126" s="80" t="b">
        <v>0</v>
      </c>
      <c r="L126" s="80" t="b">
        <v>0</v>
      </c>
    </row>
    <row r="127" spans="1:12" ht="15">
      <c r="A127" s="81" t="s">
        <v>2497</v>
      </c>
      <c r="B127" s="80" t="s">
        <v>2435</v>
      </c>
      <c r="C127" s="80">
        <v>5</v>
      </c>
      <c r="D127" s="104">
        <v>0.0007666076635027178</v>
      </c>
      <c r="E127" s="104">
        <v>3.13956426617585</v>
      </c>
      <c r="F127" s="80" t="s">
        <v>3370</v>
      </c>
      <c r="G127" s="80" t="b">
        <v>0</v>
      </c>
      <c r="H127" s="80" t="b">
        <v>0</v>
      </c>
      <c r="I127" s="80" t="b">
        <v>0</v>
      </c>
      <c r="J127" s="80" t="b">
        <v>1</v>
      </c>
      <c r="K127" s="80" t="b">
        <v>0</v>
      </c>
      <c r="L127" s="80" t="b">
        <v>0</v>
      </c>
    </row>
    <row r="128" spans="1:12" ht="15">
      <c r="A128" s="81" t="s">
        <v>2355</v>
      </c>
      <c r="B128" s="80" t="s">
        <v>2215</v>
      </c>
      <c r="C128" s="80">
        <v>5</v>
      </c>
      <c r="D128" s="104">
        <v>0.0007666076635027178</v>
      </c>
      <c r="E128" s="104">
        <v>1.7034016191350936</v>
      </c>
      <c r="F128" s="80" t="s">
        <v>3370</v>
      </c>
      <c r="G128" s="80" t="b">
        <v>0</v>
      </c>
      <c r="H128" s="80" t="b">
        <v>0</v>
      </c>
      <c r="I128" s="80" t="b">
        <v>0</v>
      </c>
      <c r="J128" s="80" t="b">
        <v>0</v>
      </c>
      <c r="K128" s="80" t="b">
        <v>0</v>
      </c>
      <c r="L128" s="80" t="b">
        <v>0</v>
      </c>
    </row>
    <row r="129" spans="1:12" ht="15">
      <c r="A129" s="81" t="s">
        <v>2249</v>
      </c>
      <c r="B129" s="80" t="s">
        <v>2518</v>
      </c>
      <c r="C129" s="80">
        <v>5</v>
      </c>
      <c r="D129" s="104">
        <v>0.0007666076635027178</v>
      </c>
      <c r="E129" s="104">
        <v>2.5559876805419006</v>
      </c>
      <c r="F129" s="80" t="s">
        <v>3370</v>
      </c>
      <c r="G129" s="80" t="b">
        <v>0</v>
      </c>
      <c r="H129" s="80" t="b">
        <v>0</v>
      </c>
      <c r="I129" s="80" t="b">
        <v>0</v>
      </c>
      <c r="J129" s="80" t="b">
        <v>0</v>
      </c>
      <c r="K129" s="80" t="b">
        <v>0</v>
      </c>
      <c r="L129" s="80" t="b">
        <v>0</v>
      </c>
    </row>
    <row r="130" spans="1:12" ht="15">
      <c r="A130" s="81" t="s">
        <v>2537</v>
      </c>
      <c r="B130" s="80" t="s">
        <v>2499</v>
      </c>
      <c r="C130" s="80">
        <v>5</v>
      </c>
      <c r="D130" s="104">
        <v>0.0007666076635027178</v>
      </c>
      <c r="E130" s="104">
        <v>3.2187455122234745</v>
      </c>
      <c r="F130" s="80" t="s">
        <v>3370</v>
      </c>
      <c r="G130" s="80" t="b">
        <v>0</v>
      </c>
      <c r="H130" s="80" t="b">
        <v>0</v>
      </c>
      <c r="I130" s="80" t="b">
        <v>0</v>
      </c>
      <c r="J130" s="80" t="b">
        <v>0</v>
      </c>
      <c r="K130" s="80" t="b">
        <v>0</v>
      </c>
      <c r="L130" s="80" t="b">
        <v>0</v>
      </c>
    </row>
    <row r="131" spans="1:12" ht="15">
      <c r="A131" s="81" t="s">
        <v>2309</v>
      </c>
      <c r="B131" s="80" t="s">
        <v>2311</v>
      </c>
      <c r="C131" s="80">
        <v>5</v>
      </c>
      <c r="D131" s="104">
        <v>0.0007666076635027178</v>
      </c>
      <c r="E131" s="104">
        <v>2.3887988162818385</v>
      </c>
      <c r="F131" s="80" t="s">
        <v>3370</v>
      </c>
      <c r="G131" s="80" t="b">
        <v>0</v>
      </c>
      <c r="H131" s="80" t="b">
        <v>0</v>
      </c>
      <c r="I131" s="80" t="b">
        <v>0</v>
      </c>
      <c r="J131" s="80" t="b">
        <v>0</v>
      </c>
      <c r="K131" s="80" t="b">
        <v>0</v>
      </c>
      <c r="L131" s="80" t="b">
        <v>0</v>
      </c>
    </row>
    <row r="132" spans="1:12" ht="15">
      <c r="A132" s="81" t="s">
        <v>2232</v>
      </c>
      <c r="B132" s="80" t="s">
        <v>2295</v>
      </c>
      <c r="C132" s="80">
        <v>5</v>
      </c>
      <c r="D132" s="104">
        <v>0.0007666076635027178</v>
      </c>
      <c r="E132" s="104">
        <v>1.9520435453393867</v>
      </c>
      <c r="F132" s="80" t="s">
        <v>3370</v>
      </c>
      <c r="G132" s="80" t="b">
        <v>0</v>
      </c>
      <c r="H132" s="80" t="b">
        <v>0</v>
      </c>
      <c r="I132" s="80" t="b">
        <v>0</v>
      </c>
      <c r="J132" s="80" t="b">
        <v>0</v>
      </c>
      <c r="K132" s="80" t="b">
        <v>0</v>
      </c>
      <c r="L132" s="80" t="b">
        <v>0</v>
      </c>
    </row>
    <row r="133" spans="1:12" ht="15">
      <c r="A133" s="81" t="s">
        <v>2214</v>
      </c>
      <c r="B133" s="80" t="s">
        <v>2228</v>
      </c>
      <c r="C133" s="80">
        <v>5</v>
      </c>
      <c r="D133" s="104">
        <v>0.00082449894964851</v>
      </c>
      <c r="E133" s="104">
        <v>0.9799970729422294</v>
      </c>
      <c r="F133" s="80" t="s">
        <v>3370</v>
      </c>
      <c r="G133" s="80" t="b">
        <v>0</v>
      </c>
      <c r="H133" s="80" t="b">
        <v>0</v>
      </c>
      <c r="I133" s="80" t="b">
        <v>0</v>
      </c>
      <c r="J133" s="80" t="b">
        <v>0</v>
      </c>
      <c r="K133" s="80" t="b">
        <v>0</v>
      </c>
      <c r="L133" s="80" t="b">
        <v>0</v>
      </c>
    </row>
    <row r="134" spans="1:12" ht="15">
      <c r="A134" s="81" t="s">
        <v>2523</v>
      </c>
      <c r="B134" s="80" t="s">
        <v>2226</v>
      </c>
      <c r="C134" s="80">
        <v>5</v>
      </c>
      <c r="D134" s="104">
        <v>0.0007666076635027178</v>
      </c>
      <c r="E134" s="104">
        <v>2.2456176586237757</v>
      </c>
      <c r="F134" s="80" t="s">
        <v>3370</v>
      </c>
      <c r="G134" s="80" t="b">
        <v>0</v>
      </c>
      <c r="H134" s="80" t="b">
        <v>0</v>
      </c>
      <c r="I134" s="80" t="b">
        <v>0</v>
      </c>
      <c r="J134" s="80" t="b">
        <v>0</v>
      </c>
      <c r="K134" s="80" t="b">
        <v>0</v>
      </c>
      <c r="L134" s="80" t="b">
        <v>0</v>
      </c>
    </row>
    <row r="135" spans="1:12" ht="15">
      <c r="A135" s="81" t="s">
        <v>2569</v>
      </c>
      <c r="B135" s="80" t="s">
        <v>2550</v>
      </c>
      <c r="C135" s="80">
        <v>5</v>
      </c>
      <c r="D135" s="104">
        <v>0.0007666076635027178</v>
      </c>
      <c r="E135" s="104">
        <v>3.2187455122234745</v>
      </c>
      <c r="F135" s="80" t="s">
        <v>3370</v>
      </c>
      <c r="G135" s="80" t="b">
        <v>0</v>
      </c>
      <c r="H135" s="80" t="b">
        <v>0</v>
      </c>
      <c r="I135" s="80" t="b">
        <v>0</v>
      </c>
      <c r="J135" s="80" t="b">
        <v>0</v>
      </c>
      <c r="K135" s="80" t="b">
        <v>0</v>
      </c>
      <c r="L135" s="80" t="b">
        <v>0</v>
      </c>
    </row>
    <row r="136" spans="1:12" ht="15">
      <c r="A136" s="81" t="s">
        <v>2236</v>
      </c>
      <c r="B136" s="80" t="s">
        <v>2494</v>
      </c>
      <c r="C136" s="80">
        <v>5</v>
      </c>
      <c r="D136" s="104">
        <v>0.0007666076635027178</v>
      </c>
      <c r="E136" s="104">
        <v>2.4125655382395874</v>
      </c>
      <c r="F136" s="80" t="s">
        <v>3370</v>
      </c>
      <c r="G136" s="80" t="b">
        <v>0</v>
      </c>
      <c r="H136" s="80" t="b">
        <v>0</v>
      </c>
      <c r="I136" s="80" t="b">
        <v>0</v>
      </c>
      <c r="J136" s="80" t="b">
        <v>0</v>
      </c>
      <c r="K136" s="80" t="b">
        <v>0</v>
      </c>
      <c r="L136" s="80" t="b">
        <v>0</v>
      </c>
    </row>
    <row r="137" spans="1:12" ht="15">
      <c r="A137" s="81" t="s">
        <v>2232</v>
      </c>
      <c r="B137" s="80" t="s">
        <v>2355</v>
      </c>
      <c r="C137" s="80">
        <v>5</v>
      </c>
      <c r="D137" s="104">
        <v>0.0007666076635027178</v>
      </c>
      <c r="E137" s="104">
        <v>2.1439290715782997</v>
      </c>
      <c r="F137" s="80" t="s">
        <v>3370</v>
      </c>
      <c r="G137" s="80" t="b">
        <v>0</v>
      </c>
      <c r="H137" s="80" t="b">
        <v>0</v>
      </c>
      <c r="I137" s="80" t="b">
        <v>0</v>
      </c>
      <c r="J137" s="80" t="b">
        <v>0</v>
      </c>
      <c r="K137" s="80" t="b">
        <v>0</v>
      </c>
      <c r="L137" s="80" t="b">
        <v>0</v>
      </c>
    </row>
    <row r="138" spans="1:12" ht="15">
      <c r="A138" s="81" t="s">
        <v>2296</v>
      </c>
      <c r="B138" s="80" t="s">
        <v>2341</v>
      </c>
      <c r="C138" s="80">
        <v>5</v>
      </c>
      <c r="D138" s="104">
        <v>0.0007666076635027178</v>
      </c>
      <c r="E138" s="104">
        <v>2.4705574852172743</v>
      </c>
      <c r="F138" s="80" t="s">
        <v>3370</v>
      </c>
      <c r="G138" s="80" t="b">
        <v>0</v>
      </c>
      <c r="H138" s="80" t="b">
        <v>0</v>
      </c>
      <c r="I138" s="80" t="b">
        <v>0</v>
      </c>
      <c r="J138" s="80" t="b">
        <v>0</v>
      </c>
      <c r="K138" s="80" t="b">
        <v>0</v>
      </c>
      <c r="L138" s="80" t="b">
        <v>0</v>
      </c>
    </row>
    <row r="139" spans="1:12" ht="15">
      <c r="A139" s="81" t="s">
        <v>2298</v>
      </c>
      <c r="B139" s="80" t="s">
        <v>2503</v>
      </c>
      <c r="C139" s="80">
        <v>5</v>
      </c>
      <c r="D139" s="104">
        <v>0.0011841524689603156</v>
      </c>
      <c r="E139" s="104">
        <v>2.7715874808812555</v>
      </c>
      <c r="F139" s="80" t="s">
        <v>3370</v>
      </c>
      <c r="G139" s="80" t="b">
        <v>0</v>
      </c>
      <c r="H139" s="80" t="b">
        <v>0</v>
      </c>
      <c r="I139" s="80" t="b">
        <v>0</v>
      </c>
      <c r="J139" s="80" t="b">
        <v>0</v>
      </c>
      <c r="K139" s="80" t="b">
        <v>0</v>
      </c>
      <c r="L139" s="80" t="b">
        <v>0</v>
      </c>
    </row>
    <row r="140" spans="1:12" ht="15">
      <c r="A140" s="81" t="s">
        <v>2276</v>
      </c>
      <c r="B140" s="80" t="s">
        <v>2227</v>
      </c>
      <c r="C140" s="80">
        <v>4</v>
      </c>
      <c r="D140" s="104">
        <v>0.0009473219751682525</v>
      </c>
      <c r="E140" s="104">
        <v>1.6722028487453435</v>
      </c>
      <c r="F140" s="80" t="s">
        <v>3370</v>
      </c>
      <c r="G140" s="80" t="b">
        <v>0</v>
      </c>
      <c r="H140" s="80" t="b">
        <v>0</v>
      </c>
      <c r="I140" s="80" t="b">
        <v>0</v>
      </c>
      <c r="J140" s="80" t="b">
        <v>0</v>
      </c>
      <c r="K140" s="80" t="b">
        <v>0</v>
      </c>
      <c r="L140" s="80" t="b">
        <v>0</v>
      </c>
    </row>
    <row r="141" spans="1:12" ht="15">
      <c r="A141" s="81" t="s">
        <v>2461</v>
      </c>
      <c r="B141" s="80" t="s">
        <v>2559</v>
      </c>
      <c r="C141" s="80">
        <v>4</v>
      </c>
      <c r="D141" s="104">
        <v>0.000659599159718808</v>
      </c>
      <c r="E141" s="104">
        <v>3.042654253167793</v>
      </c>
      <c r="F141" s="80" t="s">
        <v>3370</v>
      </c>
      <c r="G141" s="80" t="b">
        <v>0</v>
      </c>
      <c r="H141" s="80" t="b">
        <v>0</v>
      </c>
      <c r="I141" s="80" t="b">
        <v>0</v>
      </c>
      <c r="J141" s="80" t="b">
        <v>0</v>
      </c>
      <c r="K141" s="80" t="b">
        <v>0</v>
      </c>
      <c r="L141" s="80" t="b">
        <v>0</v>
      </c>
    </row>
    <row r="142" spans="1:12" ht="15">
      <c r="A142" s="81" t="s">
        <v>2235</v>
      </c>
      <c r="B142" s="80" t="s">
        <v>2632</v>
      </c>
      <c r="C142" s="80">
        <v>4</v>
      </c>
      <c r="D142" s="104">
        <v>0.000659599159718808</v>
      </c>
      <c r="E142" s="104">
        <v>2.4125655382395874</v>
      </c>
      <c r="F142" s="80" t="s">
        <v>3370</v>
      </c>
      <c r="G142" s="80" t="b">
        <v>0</v>
      </c>
      <c r="H142" s="80" t="b">
        <v>0</v>
      </c>
      <c r="I142" s="80" t="b">
        <v>0</v>
      </c>
      <c r="J142" s="80" t="b">
        <v>0</v>
      </c>
      <c r="K142" s="80" t="b">
        <v>0</v>
      </c>
      <c r="L142" s="80" t="b">
        <v>0</v>
      </c>
    </row>
    <row r="143" spans="1:12" ht="15">
      <c r="A143" s="81" t="s">
        <v>2233</v>
      </c>
      <c r="B143" s="80" t="s">
        <v>2366</v>
      </c>
      <c r="C143" s="80">
        <v>4</v>
      </c>
      <c r="D143" s="104">
        <v>0.000659599159718808</v>
      </c>
      <c r="E143" s="104">
        <v>2.0884117437284684</v>
      </c>
      <c r="F143" s="80" t="s">
        <v>3370</v>
      </c>
      <c r="G143" s="80" t="b">
        <v>0</v>
      </c>
      <c r="H143" s="80" t="b">
        <v>0</v>
      </c>
      <c r="I143" s="80" t="b">
        <v>0</v>
      </c>
      <c r="J143" s="80" t="b">
        <v>0</v>
      </c>
      <c r="K143" s="80" t="b">
        <v>0</v>
      </c>
      <c r="L143" s="80" t="b">
        <v>0</v>
      </c>
    </row>
    <row r="144" spans="1:12" ht="15">
      <c r="A144" s="81" t="s">
        <v>2357</v>
      </c>
      <c r="B144" s="80" t="s">
        <v>2472</v>
      </c>
      <c r="C144" s="80">
        <v>4</v>
      </c>
      <c r="D144" s="104">
        <v>0.000659599159718808</v>
      </c>
      <c r="E144" s="104">
        <v>2.787381748064487</v>
      </c>
      <c r="F144" s="80" t="s">
        <v>3370</v>
      </c>
      <c r="G144" s="80" t="b">
        <v>0</v>
      </c>
      <c r="H144" s="80" t="b">
        <v>0</v>
      </c>
      <c r="I144" s="80" t="b">
        <v>0</v>
      </c>
      <c r="J144" s="80" t="b">
        <v>0</v>
      </c>
      <c r="K144" s="80" t="b">
        <v>0</v>
      </c>
      <c r="L144" s="80" t="b">
        <v>0</v>
      </c>
    </row>
    <row r="145" spans="1:12" ht="15">
      <c r="A145" s="81" t="s">
        <v>2240</v>
      </c>
      <c r="B145" s="80" t="s">
        <v>2381</v>
      </c>
      <c r="C145" s="80">
        <v>4</v>
      </c>
      <c r="D145" s="104">
        <v>0.000659599159718808</v>
      </c>
      <c r="E145" s="104">
        <v>2.236474279183906</v>
      </c>
      <c r="F145" s="80" t="s">
        <v>3370</v>
      </c>
      <c r="G145" s="80" t="b">
        <v>0</v>
      </c>
      <c r="H145" s="80" t="b">
        <v>0</v>
      </c>
      <c r="I145" s="80" t="b">
        <v>0</v>
      </c>
      <c r="J145" s="80" t="b">
        <v>0</v>
      </c>
      <c r="K145" s="80" t="b">
        <v>0</v>
      </c>
      <c r="L145" s="80" t="b">
        <v>0</v>
      </c>
    </row>
    <row r="146" spans="1:12" ht="15">
      <c r="A146" s="81" t="s">
        <v>2238</v>
      </c>
      <c r="B146" s="80" t="s">
        <v>2457</v>
      </c>
      <c r="C146" s="80">
        <v>4</v>
      </c>
      <c r="D146" s="104">
        <v>0.0008034605674435303</v>
      </c>
      <c r="E146" s="104">
        <v>2.2502625636695397</v>
      </c>
      <c r="F146" s="80" t="s">
        <v>3370</v>
      </c>
      <c r="G146" s="80" t="b">
        <v>0</v>
      </c>
      <c r="H146" s="80" t="b">
        <v>0</v>
      </c>
      <c r="I146" s="80" t="b">
        <v>0</v>
      </c>
      <c r="J146" s="80" t="b">
        <v>0</v>
      </c>
      <c r="K146" s="80" t="b">
        <v>0</v>
      </c>
      <c r="L146" s="80" t="b">
        <v>0</v>
      </c>
    </row>
    <row r="147" spans="1:12" ht="15">
      <c r="A147" s="81" t="s">
        <v>2289</v>
      </c>
      <c r="B147" s="80" t="s">
        <v>2244</v>
      </c>
      <c r="C147" s="80">
        <v>4</v>
      </c>
      <c r="D147" s="104">
        <v>0.0009473219751682525</v>
      </c>
      <c r="E147" s="104">
        <v>1.8965262174895554</v>
      </c>
      <c r="F147" s="80" t="s">
        <v>3370</v>
      </c>
      <c r="G147" s="80" t="b">
        <v>0</v>
      </c>
      <c r="H147" s="80" t="b">
        <v>0</v>
      </c>
      <c r="I147" s="80" t="b">
        <v>0</v>
      </c>
      <c r="J147" s="80" t="b">
        <v>0</v>
      </c>
      <c r="K147" s="80" t="b">
        <v>0</v>
      </c>
      <c r="L147" s="80" t="b">
        <v>0</v>
      </c>
    </row>
    <row r="148" spans="1:12" ht="15">
      <c r="A148" s="81" t="s">
        <v>2381</v>
      </c>
      <c r="B148" s="80" t="s">
        <v>2314</v>
      </c>
      <c r="C148" s="80">
        <v>4</v>
      </c>
      <c r="D148" s="104">
        <v>0.000659599159718808</v>
      </c>
      <c r="E148" s="104">
        <v>2.5027421685886755</v>
      </c>
      <c r="F148" s="80" t="s">
        <v>3370</v>
      </c>
      <c r="G148" s="80" t="b">
        <v>0</v>
      </c>
      <c r="H148" s="80" t="b">
        <v>0</v>
      </c>
      <c r="I148" s="80" t="b">
        <v>0</v>
      </c>
      <c r="J148" s="80" t="b">
        <v>0</v>
      </c>
      <c r="K148" s="80" t="b">
        <v>0</v>
      </c>
      <c r="L148" s="80" t="b">
        <v>0</v>
      </c>
    </row>
    <row r="149" spans="1:12" ht="15">
      <c r="A149" s="81" t="s">
        <v>2535</v>
      </c>
      <c r="B149" s="80" t="s">
        <v>2480</v>
      </c>
      <c r="C149" s="80">
        <v>4</v>
      </c>
      <c r="D149" s="104">
        <v>0.000719307038623611</v>
      </c>
      <c r="E149" s="104">
        <v>3.042654253167793</v>
      </c>
      <c r="F149" s="80" t="s">
        <v>3370</v>
      </c>
      <c r="G149" s="80" t="b">
        <v>0</v>
      </c>
      <c r="H149" s="80" t="b">
        <v>0</v>
      </c>
      <c r="I149" s="80" t="b">
        <v>0</v>
      </c>
      <c r="J149" s="80" t="b">
        <v>0</v>
      </c>
      <c r="K149" s="80" t="b">
        <v>0</v>
      </c>
      <c r="L149" s="80" t="b">
        <v>0</v>
      </c>
    </row>
    <row r="150" spans="1:12" ht="15">
      <c r="A150" s="81" t="s">
        <v>2227</v>
      </c>
      <c r="B150" s="80" t="s">
        <v>2416</v>
      </c>
      <c r="C150" s="80">
        <v>4</v>
      </c>
      <c r="D150" s="104">
        <v>0.0009473219751682525</v>
      </c>
      <c r="E150" s="104">
        <v>2.0312247913870114</v>
      </c>
      <c r="F150" s="80" t="s">
        <v>3370</v>
      </c>
      <c r="G150" s="80" t="b">
        <v>0</v>
      </c>
      <c r="H150" s="80" t="b">
        <v>0</v>
      </c>
      <c r="I150" s="80" t="b">
        <v>0</v>
      </c>
      <c r="J150" s="80" t="b">
        <v>0</v>
      </c>
      <c r="K150" s="80" t="b">
        <v>0</v>
      </c>
      <c r="L150" s="80" t="b">
        <v>0</v>
      </c>
    </row>
    <row r="151" spans="1:12" ht="15">
      <c r="A151" s="81" t="s">
        <v>2224</v>
      </c>
      <c r="B151" s="80" t="s">
        <v>2225</v>
      </c>
      <c r="C151" s="80">
        <v>4</v>
      </c>
      <c r="D151" s="104">
        <v>0.000659599159718808</v>
      </c>
      <c r="E151" s="104">
        <v>1.1395642661758498</v>
      </c>
      <c r="F151" s="80" t="s">
        <v>3370</v>
      </c>
      <c r="G151" s="80" t="b">
        <v>0</v>
      </c>
      <c r="H151" s="80" t="b">
        <v>0</v>
      </c>
      <c r="I151" s="80" t="b">
        <v>0</v>
      </c>
      <c r="J151" s="80" t="b">
        <v>0</v>
      </c>
      <c r="K151" s="80" t="b">
        <v>0</v>
      </c>
      <c r="L151" s="80" t="b">
        <v>0</v>
      </c>
    </row>
    <row r="152" spans="1:12" ht="15">
      <c r="A152" s="81" t="s">
        <v>2646</v>
      </c>
      <c r="B152" s="80" t="s">
        <v>2283</v>
      </c>
      <c r="C152" s="80">
        <v>4</v>
      </c>
      <c r="D152" s="104">
        <v>0.000659599159718808</v>
      </c>
      <c r="E152" s="104">
        <v>2.7416242575038123</v>
      </c>
      <c r="F152" s="80" t="s">
        <v>3370</v>
      </c>
      <c r="G152" s="80" t="b">
        <v>0</v>
      </c>
      <c r="H152" s="80" t="b">
        <v>0</v>
      </c>
      <c r="I152" s="80" t="b">
        <v>0</v>
      </c>
      <c r="J152" s="80" t="b">
        <v>0</v>
      </c>
      <c r="K152" s="80" t="b">
        <v>0</v>
      </c>
      <c r="L152" s="80" t="b">
        <v>0</v>
      </c>
    </row>
    <row r="153" spans="1:12" ht="15">
      <c r="A153" s="81" t="s">
        <v>2223</v>
      </c>
      <c r="B153" s="80" t="s">
        <v>2248</v>
      </c>
      <c r="C153" s="80">
        <v>4</v>
      </c>
      <c r="D153" s="104">
        <v>0.0008034605674435303</v>
      </c>
      <c r="E153" s="104">
        <v>1.4319940900779133</v>
      </c>
      <c r="F153" s="80" t="s">
        <v>3370</v>
      </c>
      <c r="G153" s="80" t="b">
        <v>0</v>
      </c>
      <c r="H153" s="80" t="b">
        <v>0</v>
      </c>
      <c r="I153" s="80" t="b">
        <v>0</v>
      </c>
      <c r="J153" s="80" t="b">
        <v>0</v>
      </c>
      <c r="K153" s="80" t="b">
        <v>0</v>
      </c>
      <c r="L153" s="80" t="b">
        <v>0</v>
      </c>
    </row>
    <row r="154" spans="1:12" ht="15">
      <c r="A154" s="81" t="s">
        <v>2233</v>
      </c>
      <c r="B154" s="80" t="s">
        <v>2455</v>
      </c>
      <c r="C154" s="80">
        <v>4</v>
      </c>
      <c r="D154" s="104">
        <v>0.000659599159718808</v>
      </c>
      <c r="E154" s="104">
        <v>2.2645030027841497</v>
      </c>
      <c r="F154" s="80" t="s">
        <v>3370</v>
      </c>
      <c r="G154" s="80" t="b">
        <v>0</v>
      </c>
      <c r="H154" s="80" t="b">
        <v>0</v>
      </c>
      <c r="I154" s="80" t="b">
        <v>0</v>
      </c>
      <c r="J154" s="80" t="b">
        <v>0</v>
      </c>
      <c r="K154" s="80" t="b">
        <v>0</v>
      </c>
      <c r="L154" s="80" t="b">
        <v>0</v>
      </c>
    </row>
    <row r="155" spans="1:12" ht="15">
      <c r="A155" s="81" t="s">
        <v>2314</v>
      </c>
      <c r="B155" s="80" t="s">
        <v>2217</v>
      </c>
      <c r="C155" s="80">
        <v>4</v>
      </c>
      <c r="D155" s="104">
        <v>0.000659599159718808</v>
      </c>
      <c r="E155" s="104">
        <v>1.5733232428743826</v>
      </c>
      <c r="F155" s="80" t="s">
        <v>3370</v>
      </c>
      <c r="G155" s="80" t="b">
        <v>0</v>
      </c>
      <c r="H155" s="80" t="b">
        <v>0</v>
      </c>
      <c r="I155" s="80" t="b">
        <v>0</v>
      </c>
      <c r="J155" s="80" t="b">
        <v>0</v>
      </c>
      <c r="K155" s="80" t="b">
        <v>0</v>
      </c>
      <c r="L155" s="80" t="b">
        <v>0</v>
      </c>
    </row>
    <row r="156" spans="1:12" ht="15">
      <c r="A156" s="81" t="s">
        <v>2235</v>
      </c>
      <c r="B156" s="80" t="s">
        <v>2252</v>
      </c>
      <c r="C156" s="80">
        <v>4</v>
      </c>
      <c r="D156" s="104">
        <v>0.000659599159718808</v>
      </c>
      <c r="E156" s="104">
        <v>1.6722028487453435</v>
      </c>
      <c r="F156" s="80" t="s">
        <v>3370</v>
      </c>
      <c r="G156" s="80" t="b">
        <v>0</v>
      </c>
      <c r="H156" s="80" t="b">
        <v>0</v>
      </c>
      <c r="I156" s="80" t="b">
        <v>0</v>
      </c>
      <c r="J156" s="80" t="b">
        <v>0</v>
      </c>
      <c r="K156" s="80" t="b">
        <v>0</v>
      </c>
      <c r="L156" s="80" t="b">
        <v>0</v>
      </c>
    </row>
    <row r="157" spans="1:12" ht="15">
      <c r="A157" s="81" t="s">
        <v>2386</v>
      </c>
      <c r="B157" s="80" t="s">
        <v>2267</v>
      </c>
      <c r="C157" s="80">
        <v>4</v>
      </c>
      <c r="D157" s="104">
        <v>0.0009473219751682525</v>
      </c>
      <c r="E157" s="104">
        <v>2.3614130157922064</v>
      </c>
      <c r="F157" s="80" t="s">
        <v>3370</v>
      </c>
      <c r="G157" s="80" t="b">
        <v>0</v>
      </c>
      <c r="H157" s="80" t="b">
        <v>0</v>
      </c>
      <c r="I157" s="80" t="b">
        <v>0</v>
      </c>
      <c r="J157" s="80" t="b">
        <v>0</v>
      </c>
      <c r="K157" s="80" t="b">
        <v>0</v>
      </c>
      <c r="L157" s="80" t="b">
        <v>0</v>
      </c>
    </row>
    <row r="158" spans="1:12" ht="15">
      <c r="A158" s="81" t="s">
        <v>2598</v>
      </c>
      <c r="B158" s="80" t="s">
        <v>2663</v>
      </c>
      <c r="C158" s="80">
        <v>4</v>
      </c>
      <c r="D158" s="104">
        <v>0.000659599159718808</v>
      </c>
      <c r="E158" s="104">
        <v>3.315655525231531</v>
      </c>
      <c r="F158" s="80" t="s">
        <v>3370</v>
      </c>
      <c r="G158" s="80" t="b">
        <v>0</v>
      </c>
      <c r="H158" s="80" t="b">
        <v>1</v>
      </c>
      <c r="I158" s="80" t="b">
        <v>0</v>
      </c>
      <c r="J158" s="80" t="b">
        <v>0</v>
      </c>
      <c r="K158" s="80" t="b">
        <v>0</v>
      </c>
      <c r="L158" s="80" t="b">
        <v>0</v>
      </c>
    </row>
    <row r="159" spans="1:12" ht="15">
      <c r="A159" s="81" t="s">
        <v>2284</v>
      </c>
      <c r="B159" s="80" t="s">
        <v>2217</v>
      </c>
      <c r="C159" s="80">
        <v>4</v>
      </c>
      <c r="D159" s="104">
        <v>0.0008034605674435303</v>
      </c>
      <c r="E159" s="104">
        <v>1.5411385595029814</v>
      </c>
      <c r="F159" s="80" t="s">
        <v>3370</v>
      </c>
      <c r="G159" s="80" t="b">
        <v>0</v>
      </c>
      <c r="H159" s="80" t="b">
        <v>0</v>
      </c>
      <c r="I159" s="80" t="b">
        <v>0</v>
      </c>
      <c r="J159" s="80" t="b">
        <v>0</v>
      </c>
      <c r="K159" s="80" t="b">
        <v>0</v>
      </c>
      <c r="L159" s="80" t="b">
        <v>0</v>
      </c>
    </row>
    <row r="160" spans="1:12" ht="15">
      <c r="A160" s="81" t="s">
        <v>2224</v>
      </c>
      <c r="B160" s="80" t="s">
        <v>2222</v>
      </c>
      <c r="C160" s="80">
        <v>4</v>
      </c>
      <c r="D160" s="104">
        <v>0.000659599159718808</v>
      </c>
      <c r="E160" s="104">
        <v>1.1132353274535005</v>
      </c>
      <c r="F160" s="80" t="s">
        <v>3370</v>
      </c>
      <c r="G160" s="80" t="b">
        <v>0</v>
      </c>
      <c r="H160" s="80" t="b">
        <v>0</v>
      </c>
      <c r="I160" s="80" t="b">
        <v>0</v>
      </c>
      <c r="J160" s="80" t="b">
        <v>0</v>
      </c>
      <c r="K160" s="80" t="b">
        <v>0</v>
      </c>
      <c r="L160" s="80" t="b">
        <v>0</v>
      </c>
    </row>
    <row r="161" spans="1:12" ht="15">
      <c r="A161" s="81" t="s">
        <v>2237</v>
      </c>
      <c r="B161" s="80" t="s">
        <v>2308</v>
      </c>
      <c r="C161" s="80">
        <v>4</v>
      </c>
      <c r="D161" s="104">
        <v>0.0008034605674435303</v>
      </c>
      <c r="E161" s="104">
        <v>1.9144704617463464</v>
      </c>
      <c r="F161" s="80" t="s">
        <v>3370</v>
      </c>
      <c r="G161" s="80" t="b">
        <v>0</v>
      </c>
      <c r="H161" s="80" t="b">
        <v>0</v>
      </c>
      <c r="I161" s="80" t="b">
        <v>0</v>
      </c>
      <c r="J161" s="80" t="b">
        <v>0</v>
      </c>
      <c r="K161" s="80" t="b">
        <v>0</v>
      </c>
      <c r="L161" s="80" t="b">
        <v>0</v>
      </c>
    </row>
    <row r="162" spans="1:12" ht="15">
      <c r="A162" s="81" t="s">
        <v>2626</v>
      </c>
      <c r="B162" s="80" t="s">
        <v>2324</v>
      </c>
      <c r="C162" s="80">
        <v>4</v>
      </c>
      <c r="D162" s="104">
        <v>0.0009473219751682525</v>
      </c>
      <c r="E162" s="104">
        <v>2.8385342705118686</v>
      </c>
      <c r="F162" s="80" t="s">
        <v>3370</v>
      </c>
      <c r="G162" s="80" t="b">
        <v>0</v>
      </c>
      <c r="H162" s="80" t="b">
        <v>0</v>
      </c>
      <c r="I162" s="80" t="b">
        <v>0</v>
      </c>
      <c r="J162" s="80" t="b">
        <v>0</v>
      </c>
      <c r="K162" s="80" t="b">
        <v>0</v>
      </c>
      <c r="L162" s="80" t="b">
        <v>0</v>
      </c>
    </row>
    <row r="163" spans="1:12" ht="15">
      <c r="A163" s="81" t="s">
        <v>2228</v>
      </c>
      <c r="B163" s="80" t="s">
        <v>2219</v>
      </c>
      <c r="C163" s="80">
        <v>4</v>
      </c>
      <c r="D163" s="104">
        <v>0.0008034605674435303</v>
      </c>
      <c r="E163" s="104">
        <v>1.1256742058474112</v>
      </c>
      <c r="F163" s="80" t="s">
        <v>3370</v>
      </c>
      <c r="G163" s="80" t="b">
        <v>0</v>
      </c>
      <c r="H163" s="80" t="b">
        <v>0</v>
      </c>
      <c r="I163" s="80" t="b">
        <v>0</v>
      </c>
      <c r="J163" s="80" t="b">
        <v>0</v>
      </c>
      <c r="K163" s="80" t="b">
        <v>0</v>
      </c>
      <c r="L163" s="80" t="b">
        <v>0</v>
      </c>
    </row>
    <row r="164" spans="1:12" ht="15">
      <c r="A164" s="81" t="s">
        <v>2345</v>
      </c>
      <c r="B164" s="80" t="s">
        <v>2220</v>
      </c>
      <c r="C164" s="80">
        <v>4</v>
      </c>
      <c r="D164" s="104">
        <v>0.0009473219751682525</v>
      </c>
      <c r="E164" s="104">
        <v>1.7715874808812555</v>
      </c>
      <c r="F164" s="80" t="s">
        <v>3370</v>
      </c>
      <c r="G164" s="80" t="b">
        <v>0</v>
      </c>
      <c r="H164" s="80" t="b">
        <v>0</v>
      </c>
      <c r="I164" s="80" t="b">
        <v>0</v>
      </c>
      <c r="J164" s="80" t="b">
        <v>0</v>
      </c>
      <c r="K164" s="80" t="b">
        <v>0</v>
      </c>
      <c r="L164" s="80" t="b">
        <v>0</v>
      </c>
    </row>
    <row r="165" spans="1:12" ht="15">
      <c r="A165" s="81" t="s">
        <v>2668</v>
      </c>
      <c r="B165" s="80" t="s">
        <v>2235</v>
      </c>
      <c r="C165" s="80">
        <v>4</v>
      </c>
      <c r="D165" s="104">
        <v>0.000659599159718808</v>
      </c>
      <c r="E165" s="104">
        <v>2.4125655382395874</v>
      </c>
      <c r="F165" s="80" t="s">
        <v>3370</v>
      </c>
      <c r="G165" s="80" t="b">
        <v>0</v>
      </c>
      <c r="H165" s="80" t="b">
        <v>0</v>
      </c>
      <c r="I165" s="80" t="b">
        <v>0</v>
      </c>
      <c r="J165" s="80" t="b">
        <v>0</v>
      </c>
      <c r="K165" s="80" t="b">
        <v>0</v>
      </c>
      <c r="L165" s="80" t="b">
        <v>0</v>
      </c>
    </row>
    <row r="166" spans="1:12" ht="15">
      <c r="A166" s="81" t="s">
        <v>2243</v>
      </c>
      <c r="B166" s="80" t="s">
        <v>2213</v>
      </c>
      <c r="C166" s="80">
        <v>4</v>
      </c>
      <c r="D166" s="104">
        <v>0.000719307038623611</v>
      </c>
      <c r="E166" s="104">
        <v>1.015712625208764</v>
      </c>
      <c r="F166" s="80" t="s">
        <v>3370</v>
      </c>
      <c r="G166" s="80" t="b">
        <v>0</v>
      </c>
      <c r="H166" s="80" t="b">
        <v>0</v>
      </c>
      <c r="I166" s="80" t="b">
        <v>0</v>
      </c>
      <c r="J166" s="80" t="b">
        <v>0</v>
      </c>
      <c r="K166" s="80" t="b">
        <v>0</v>
      </c>
      <c r="L166" s="80" t="b">
        <v>0</v>
      </c>
    </row>
    <row r="167" spans="1:12" ht="15">
      <c r="A167" s="81" t="s">
        <v>2320</v>
      </c>
      <c r="B167" s="80" t="s">
        <v>2346</v>
      </c>
      <c r="C167" s="80">
        <v>4</v>
      </c>
      <c r="D167" s="104">
        <v>0.000659599159718808</v>
      </c>
      <c r="E167" s="104">
        <v>2.4058321555806192</v>
      </c>
      <c r="F167" s="80" t="s">
        <v>3370</v>
      </c>
      <c r="G167" s="80" t="b">
        <v>0</v>
      </c>
      <c r="H167" s="80" t="b">
        <v>0</v>
      </c>
      <c r="I167" s="80" t="b">
        <v>0</v>
      </c>
      <c r="J167" s="80" t="b">
        <v>0</v>
      </c>
      <c r="K167" s="80" t="b">
        <v>0</v>
      </c>
      <c r="L167" s="80" t="b">
        <v>0</v>
      </c>
    </row>
    <row r="168" spans="1:12" ht="15">
      <c r="A168" s="81" t="s">
        <v>2215</v>
      </c>
      <c r="B168" s="80" t="s">
        <v>2353</v>
      </c>
      <c r="C168" s="80">
        <v>4</v>
      </c>
      <c r="D168" s="104">
        <v>0.000659599159718808</v>
      </c>
      <c r="E168" s="104">
        <v>1.6064916061270373</v>
      </c>
      <c r="F168" s="80" t="s">
        <v>3370</v>
      </c>
      <c r="G168" s="80" t="b">
        <v>0</v>
      </c>
      <c r="H168" s="80" t="b">
        <v>0</v>
      </c>
      <c r="I168" s="80" t="b">
        <v>0</v>
      </c>
      <c r="J168" s="80" t="b">
        <v>0</v>
      </c>
      <c r="K168" s="80" t="b">
        <v>0</v>
      </c>
      <c r="L168" s="80" t="b">
        <v>0</v>
      </c>
    </row>
    <row r="169" spans="1:12" ht="15">
      <c r="A169" s="81" t="s">
        <v>2407</v>
      </c>
      <c r="B169" s="80" t="s">
        <v>2458</v>
      </c>
      <c r="C169" s="80">
        <v>4</v>
      </c>
      <c r="D169" s="104">
        <v>0.000659599159718808</v>
      </c>
      <c r="E169" s="104">
        <v>2.8965262174895554</v>
      </c>
      <c r="F169" s="80" t="s">
        <v>3370</v>
      </c>
      <c r="G169" s="80" t="b">
        <v>0</v>
      </c>
      <c r="H169" s="80" t="b">
        <v>0</v>
      </c>
      <c r="I169" s="80" t="b">
        <v>0</v>
      </c>
      <c r="J169" s="80" t="b">
        <v>0</v>
      </c>
      <c r="K169" s="80" t="b">
        <v>0</v>
      </c>
      <c r="L169" s="80" t="b">
        <v>0</v>
      </c>
    </row>
    <row r="170" spans="1:12" ht="15">
      <c r="A170" s="81" t="s">
        <v>2361</v>
      </c>
      <c r="B170" s="80" t="s">
        <v>2239</v>
      </c>
      <c r="C170" s="80">
        <v>4</v>
      </c>
      <c r="D170" s="104">
        <v>0.000659599159718808</v>
      </c>
      <c r="E170" s="104">
        <v>2.103135000549175</v>
      </c>
      <c r="F170" s="80" t="s">
        <v>3370</v>
      </c>
      <c r="G170" s="80" t="b">
        <v>0</v>
      </c>
      <c r="H170" s="80" t="b">
        <v>0</v>
      </c>
      <c r="I170" s="80" t="b">
        <v>0</v>
      </c>
      <c r="J170" s="80" t="b">
        <v>0</v>
      </c>
      <c r="K170" s="80" t="b">
        <v>0</v>
      </c>
      <c r="L170" s="80" t="b">
        <v>0</v>
      </c>
    </row>
    <row r="171" spans="1:12" ht="15">
      <c r="A171" s="81" t="s">
        <v>2284</v>
      </c>
      <c r="B171" s="80" t="s">
        <v>2452</v>
      </c>
      <c r="C171" s="80">
        <v>4</v>
      </c>
      <c r="D171" s="104">
        <v>0.000659599159718808</v>
      </c>
      <c r="E171" s="104">
        <v>2.595496221825574</v>
      </c>
      <c r="F171" s="80" t="s">
        <v>3370</v>
      </c>
      <c r="G171" s="80" t="b">
        <v>0</v>
      </c>
      <c r="H171" s="80" t="b">
        <v>0</v>
      </c>
      <c r="I171" s="80" t="b">
        <v>0</v>
      </c>
      <c r="J171" s="80" t="b">
        <v>0</v>
      </c>
      <c r="K171" s="80" t="b">
        <v>0</v>
      </c>
      <c r="L171" s="80" t="b">
        <v>0</v>
      </c>
    </row>
    <row r="172" spans="1:12" ht="15">
      <c r="A172" s="81" t="s">
        <v>2623</v>
      </c>
      <c r="B172" s="80" t="s">
        <v>2505</v>
      </c>
      <c r="C172" s="80">
        <v>4</v>
      </c>
      <c r="D172" s="104">
        <v>0.0008034605674435303</v>
      </c>
      <c r="E172" s="104">
        <v>3.2187455122234745</v>
      </c>
      <c r="F172" s="80" t="s">
        <v>3370</v>
      </c>
      <c r="G172" s="80" t="b">
        <v>0</v>
      </c>
      <c r="H172" s="80" t="b">
        <v>0</v>
      </c>
      <c r="I172" s="80" t="b">
        <v>0</v>
      </c>
      <c r="J172" s="80" t="b">
        <v>0</v>
      </c>
      <c r="K172" s="80" t="b">
        <v>0</v>
      </c>
      <c r="L172" s="80" t="b">
        <v>0</v>
      </c>
    </row>
    <row r="173" spans="1:12" ht="15">
      <c r="A173" s="81" t="s">
        <v>2489</v>
      </c>
      <c r="B173" s="80" t="s">
        <v>2575</v>
      </c>
      <c r="C173" s="80">
        <v>4</v>
      </c>
      <c r="D173" s="104">
        <v>0.000659599159718808</v>
      </c>
      <c r="E173" s="104">
        <v>3.2187455122234745</v>
      </c>
      <c r="F173" s="80" t="s">
        <v>3370</v>
      </c>
      <c r="G173" s="80" t="b">
        <v>0</v>
      </c>
      <c r="H173" s="80" t="b">
        <v>0</v>
      </c>
      <c r="I173" s="80" t="b">
        <v>0</v>
      </c>
      <c r="J173" s="80" t="b">
        <v>0</v>
      </c>
      <c r="K173" s="80" t="b">
        <v>0</v>
      </c>
      <c r="L173" s="80" t="b">
        <v>0</v>
      </c>
    </row>
    <row r="174" spans="1:12" ht="15">
      <c r="A174" s="81" t="s">
        <v>2262</v>
      </c>
      <c r="B174" s="80" t="s">
        <v>2316</v>
      </c>
      <c r="C174" s="80">
        <v>4</v>
      </c>
      <c r="D174" s="104">
        <v>0.0009473219751682525</v>
      </c>
      <c r="E174" s="104">
        <v>2.12707855462779</v>
      </c>
      <c r="F174" s="80" t="s">
        <v>3370</v>
      </c>
      <c r="G174" s="80" t="b">
        <v>0</v>
      </c>
      <c r="H174" s="80" t="b">
        <v>0</v>
      </c>
      <c r="I174" s="80" t="b">
        <v>0</v>
      </c>
      <c r="J174" s="80" t="b">
        <v>0</v>
      </c>
      <c r="K174" s="80" t="b">
        <v>0</v>
      </c>
      <c r="L174" s="80" t="b">
        <v>0</v>
      </c>
    </row>
    <row r="175" spans="1:12" ht="15">
      <c r="A175" s="81" t="s">
        <v>2368</v>
      </c>
      <c r="B175" s="80" t="s">
        <v>2271</v>
      </c>
      <c r="C175" s="80">
        <v>4</v>
      </c>
      <c r="D175" s="104">
        <v>0.000659599159718808</v>
      </c>
      <c r="E175" s="104">
        <v>2.335084077069857</v>
      </c>
      <c r="F175" s="80" t="s">
        <v>3370</v>
      </c>
      <c r="G175" s="80" t="b">
        <v>0</v>
      </c>
      <c r="H175" s="80" t="b">
        <v>0</v>
      </c>
      <c r="I175" s="80" t="b">
        <v>0</v>
      </c>
      <c r="J175" s="80" t="b">
        <v>0</v>
      </c>
      <c r="K175" s="80" t="b">
        <v>0</v>
      </c>
      <c r="L175" s="80" t="b">
        <v>0</v>
      </c>
    </row>
    <row r="176" spans="1:12" ht="15">
      <c r="A176" s="81" t="s">
        <v>2632</v>
      </c>
      <c r="B176" s="80" t="s">
        <v>2489</v>
      </c>
      <c r="C176" s="80">
        <v>4</v>
      </c>
      <c r="D176" s="104">
        <v>0.000659599159718808</v>
      </c>
      <c r="E176" s="104">
        <v>3.2187455122234745</v>
      </c>
      <c r="F176" s="80" t="s">
        <v>3370</v>
      </c>
      <c r="G176" s="80" t="b">
        <v>0</v>
      </c>
      <c r="H176" s="80" t="b">
        <v>0</v>
      </c>
      <c r="I176" s="80" t="b">
        <v>0</v>
      </c>
      <c r="J176" s="80" t="b">
        <v>0</v>
      </c>
      <c r="K176" s="80" t="b">
        <v>0</v>
      </c>
      <c r="L176" s="80" t="b">
        <v>0</v>
      </c>
    </row>
    <row r="177" spans="1:12" ht="15">
      <c r="A177" s="81" t="s">
        <v>2346</v>
      </c>
      <c r="B177" s="80" t="s">
        <v>2461</v>
      </c>
      <c r="C177" s="80">
        <v>4</v>
      </c>
      <c r="D177" s="104">
        <v>0.000659599159718808</v>
      </c>
      <c r="E177" s="104">
        <v>2.7416242575038123</v>
      </c>
      <c r="F177" s="80" t="s">
        <v>3370</v>
      </c>
      <c r="G177" s="80" t="b">
        <v>0</v>
      </c>
      <c r="H177" s="80" t="b">
        <v>0</v>
      </c>
      <c r="I177" s="80" t="b">
        <v>0</v>
      </c>
      <c r="J177" s="80" t="b">
        <v>0</v>
      </c>
      <c r="K177" s="80" t="b">
        <v>0</v>
      </c>
      <c r="L177" s="80" t="b">
        <v>0</v>
      </c>
    </row>
    <row r="178" spans="1:12" ht="15">
      <c r="A178" s="81" t="s">
        <v>2441</v>
      </c>
      <c r="B178" s="80" t="s">
        <v>2227</v>
      </c>
      <c r="C178" s="80">
        <v>4</v>
      </c>
      <c r="D178" s="104">
        <v>0.0008034605674435303</v>
      </c>
      <c r="E178" s="104">
        <v>2.098171581017625</v>
      </c>
      <c r="F178" s="80" t="s">
        <v>3370</v>
      </c>
      <c r="G178" s="80" t="b">
        <v>0</v>
      </c>
      <c r="H178" s="80" t="b">
        <v>0</v>
      </c>
      <c r="I178" s="80" t="b">
        <v>0</v>
      </c>
      <c r="J178" s="80" t="b">
        <v>0</v>
      </c>
      <c r="K178" s="80" t="b">
        <v>0</v>
      </c>
      <c r="L178" s="80" t="b">
        <v>0</v>
      </c>
    </row>
    <row r="179" spans="1:12" ht="15">
      <c r="A179" s="81" t="s">
        <v>2214</v>
      </c>
      <c r="B179" s="80" t="s">
        <v>2315</v>
      </c>
      <c r="C179" s="80">
        <v>4</v>
      </c>
      <c r="D179" s="104">
        <v>0.000659599159718808</v>
      </c>
      <c r="E179" s="104">
        <v>1.3489273042441465</v>
      </c>
      <c r="F179" s="80" t="s">
        <v>3370</v>
      </c>
      <c r="G179" s="80" t="b">
        <v>0</v>
      </c>
      <c r="H179" s="80" t="b">
        <v>0</v>
      </c>
      <c r="I179" s="80" t="b">
        <v>0</v>
      </c>
      <c r="J179" s="80" t="b">
        <v>0</v>
      </c>
      <c r="K179" s="80" t="b">
        <v>0</v>
      </c>
      <c r="L179" s="80" t="b">
        <v>0</v>
      </c>
    </row>
    <row r="180" spans="1:12" ht="15">
      <c r="A180" s="81" t="s">
        <v>2381</v>
      </c>
      <c r="B180" s="80" t="s">
        <v>2368</v>
      </c>
      <c r="C180" s="80">
        <v>4</v>
      </c>
      <c r="D180" s="104">
        <v>0.000659599159718808</v>
      </c>
      <c r="E180" s="104">
        <v>2.6624430114561872</v>
      </c>
      <c r="F180" s="80" t="s">
        <v>3370</v>
      </c>
      <c r="G180" s="80" t="b">
        <v>0</v>
      </c>
      <c r="H180" s="80" t="b">
        <v>0</v>
      </c>
      <c r="I180" s="80" t="b">
        <v>0</v>
      </c>
      <c r="J180" s="80" t="b">
        <v>0</v>
      </c>
      <c r="K180" s="80" t="b">
        <v>0</v>
      </c>
      <c r="L180" s="80" t="b">
        <v>0</v>
      </c>
    </row>
    <row r="181" spans="1:12" ht="15">
      <c r="A181" s="81" t="s">
        <v>2223</v>
      </c>
      <c r="B181" s="80" t="s">
        <v>2243</v>
      </c>
      <c r="C181" s="80">
        <v>4</v>
      </c>
      <c r="D181" s="104">
        <v>0.000659599159718808</v>
      </c>
      <c r="E181" s="104">
        <v>1.3650473004473003</v>
      </c>
      <c r="F181" s="80" t="s">
        <v>3370</v>
      </c>
      <c r="G181" s="80" t="b">
        <v>0</v>
      </c>
      <c r="H181" s="80" t="b">
        <v>0</v>
      </c>
      <c r="I181" s="80" t="b">
        <v>0</v>
      </c>
      <c r="J181" s="80" t="b">
        <v>0</v>
      </c>
      <c r="K181" s="80" t="b">
        <v>0</v>
      </c>
      <c r="L181" s="80" t="b">
        <v>0</v>
      </c>
    </row>
    <row r="182" spans="1:12" ht="15">
      <c r="A182" s="81" t="s">
        <v>2505</v>
      </c>
      <c r="B182" s="80" t="s">
        <v>2609</v>
      </c>
      <c r="C182" s="80">
        <v>4</v>
      </c>
      <c r="D182" s="104">
        <v>0.0008034605674435303</v>
      </c>
      <c r="E182" s="104">
        <v>3.2187455122234745</v>
      </c>
      <c r="F182" s="80" t="s">
        <v>3370</v>
      </c>
      <c r="G182" s="80" t="b">
        <v>0</v>
      </c>
      <c r="H182" s="80" t="b">
        <v>0</v>
      </c>
      <c r="I182" s="80" t="b">
        <v>0</v>
      </c>
      <c r="J182" s="80" t="b">
        <v>0</v>
      </c>
      <c r="K182" s="80" t="b">
        <v>0</v>
      </c>
      <c r="L182" s="80" t="b">
        <v>0</v>
      </c>
    </row>
    <row r="183" spans="1:12" ht="15">
      <c r="A183" s="81" t="s">
        <v>2250</v>
      </c>
      <c r="B183" s="80" t="s">
        <v>2320</v>
      </c>
      <c r="C183" s="80">
        <v>4</v>
      </c>
      <c r="D183" s="104">
        <v>0.000659599159718808</v>
      </c>
      <c r="E183" s="104">
        <v>2.044104319563026</v>
      </c>
      <c r="F183" s="80" t="s">
        <v>3370</v>
      </c>
      <c r="G183" s="80" t="b">
        <v>0</v>
      </c>
      <c r="H183" s="80" t="b">
        <v>0</v>
      </c>
      <c r="I183" s="80" t="b">
        <v>0</v>
      </c>
      <c r="J183" s="80" t="b">
        <v>0</v>
      </c>
      <c r="K183" s="80" t="b">
        <v>0</v>
      </c>
      <c r="L183" s="80" t="b">
        <v>0</v>
      </c>
    </row>
    <row r="184" spans="1:12" ht="15">
      <c r="A184" s="81" t="s">
        <v>2394</v>
      </c>
      <c r="B184" s="80" t="s">
        <v>2239</v>
      </c>
      <c r="C184" s="80">
        <v>4</v>
      </c>
      <c r="D184" s="104">
        <v>0.000659599159718808</v>
      </c>
      <c r="E184" s="104">
        <v>2.2122794699742427</v>
      </c>
      <c r="F184" s="80" t="s">
        <v>3370</v>
      </c>
      <c r="G184" s="80" t="b">
        <v>0</v>
      </c>
      <c r="H184" s="80" t="b">
        <v>0</v>
      </c>
      <c r="I184" s="80" t="b">
        <v>0</v>
      </c>
      <c r="J184" s="80" t="b">
        <v>0</v>
      </c>
      <c r="K184" s="80" t="b">
        <v>0</v>
      </c>
      <c r="L184" s="80" t="b">
        <v>0</v>
      </c>
    </row>
    <row r="185" spans="1:12" ht="15">
      <c r="A185" s="81" t="s">
        <v>2221</v>
      </c>
      <c r="B185" s="80" t="s">
        <v>2225</v>
      </c>
      <c r="C185" s="80">
        <v>4</v>
      </c>
      <c r="D185" s="104">
        <v>0.000659599159718808</v>
      </c>
      <c r="E185" s="104">
        <v>1.1142584009110796</v>
      </c>
      <c r="F185" s="80" t="s">
        <v>3370</v>
      </c>
      <c r="G185" s="80" t="b">
        <v>0</v>
      </c>
      <c r="H185" s="80" t="b">
        <v>0</v>
      </c>
      <c r="I185" s="80" t="b">
        <v>0</v>
      </c>
      <c r="J185" s="80" t="b">
        <v>0</v>
      </c>
      <c r="K185" s="80" t="b">
        <v>0</v>
      </c>
      <c r="L185" s="80" t="b">
        <v>0</v>
      </c>
    </row>
    <row r="186" spans="1:12" ht="15">
      <c r="A186" s="81" t="s">
        <v>2217</v>
      </c>
      <c r="B186" s="80" t="s">
        <v>2381</v>
      </c>
      <c r="C186" s="80">
        <v>4</v>
      </c>
      <c r="D186" s="104">
        <v>0.000659599159718808</v>
      </c>
      <c r="E186" s="104">
        <v>1.8037721642526565</v>
      </c>
      <c r="F186" s="80" t="s">
        <v>3370</v>
      </c>
      <c r="G186" s="80" t="b">
        <v>0</v>
      </c>
      <c r="H186" s="80" t="b">
        <v>0</v>
      </c>
      <c r="I186" s="80" t="b">
        <v>0</v>
      </c>
      <c r="J186" s="80" t="b">
        <v>0</v>
      </c>
      <c r="K186" s="80" t="b">
        <v>0</v>
      </c>
      <c r="L186" s="80" t="b">
        <v>0</v>
      </c>
    </row>
    <row r="187" spans="1:12" ht="15">
      <c r="A187" s="81" t="s">
        <v>2426</v>
      </c>
      <c r="B187" s="80" t="s">
        <v>2383</v>
      </c>
      <c r="C187" s="80">
        <v>4</v>
      </c>
      <c r="D187" s="104">
        <v>0.0008034605674435303</v>
      </c>
      <c r="E187" s="104">
        <v>2.8385342705118686</v>
      </c>
      <c r="F187" s="80" t="s">
        <v>3370</v>
      </c>
      <c r="G187" s="80" t="b">
        <v>0</v>
      </c>
      <c r="H187" s="80" t="b">
        <v>0</v>
      </c>
      <c r="I187" s="80" t="b">
        <v>0</v>
      </c>
      <c r="J187" s="80" t="b">
        <v>1</v>
      </c>
      <c r="K187" s="80" t="b">
        <v>0</v>
      </c>
      <c r="L187" s="80" t="b">
        <v>0</v>
      </c>
    </row>
    <row r="188" spans="1:12" ht="15">
      <c r="A188" s="81" t="s">
        <v>2259</v>
      </c>
      <c r="B188" s="80" t="s">
        <v>2326</v>
      </c>
      <c r="C188" s="80">
        <v>4</v>
      </c>
      <c r="D188" s="104">
        <v>0.0008034605674435303</v>
      </c>
      <c r="E188" s="104">
        <v>2.13956426617585</v>
      </c>
      <c r="F188" s="80" t="s">
        <v>3370</v>
      </c>
      <c r="G188" s="80" t="b">
        <v>0</v>
      </c>
      <c r="H188" s="80" t="b">
        <v>0</v>
      </c>
      <c r="I188" s="80" t="b">
        <v>0</v>
      </c>
      <c r="J188" s="80" t="b">
        <v>0</v>
      </c>
      <c r="K188" s="80" t="b">
        <v>0</v>
      </c>
      <c r="L188" s="80" t="b">
        <v>0</v>
      </c>
    </row>
    <row r="189" spans="1:12" ht="15">
      <c r="A189" s="81" t="s">
        <v>2227</v>
      </c>
      <c r="B189" s="80" t="s">
        <v>2576</v>
      </c>
      <c r="C189" s="80">
        <v>4</v>
      </c>
      <c r="D189" s="104">
        <v>0.0009473219751682525</v>
      </c>
      <c r="E189" s="104">
        <v>2.274262840073306</v>
      </c>
      <c r="F189" s="80" t="s">
        <v>3370</v>
      </c>
      <c r="G189" s="80" t="b">
        <v>0</v>
      </c>
      <c r="H189" s="80" t="b">
        <v>0</v>
      </c>
      <c r="I189" s="80" t="b">
        <v>0</v>
      </c>
      <c r="J189" s="80" t="b">
        <v>0</v>
      </c>
      <c r="K189" s="80" t="b">
        <v>0</v>
      </c>
      <c r="L189" s="80" t="b">
        <v>0</v>
      </c>
    </row>
    <row r="190" spans="1:12" ht="15">
      <c r="A190" s="81" t="s">
        <v>2225</v>
      </c>
      <c r="B190" s="80" t="s">
        <v>2222</v>
      </c>
      <c r="C190" s="80">
        <v>4</v>
      </c>
      <c r="D190" s="104">
        <v>0.000659599159718808</v>
      </c>
      <c r="E190" s="104">
        <v>1.2559028310222322</v>
      </c>
      <c r="F190" s="80" t="s">
        <v>3370</v>
      </c>
      <c r="G190" s="80" t="b">
        <v>0</v>
      </c>
      <c r="H190" s="80" t="b">
        <v>0</v>
      </c>
      <c r="I190" s="80" t="b">
        <v>0</v>
      </c>
      <c r="J190" s="80" t="b">
        <v>0</v>
      </c>
      <c r="K190" s="80" t="b">
        <v>0</v>
      </c>
      <c r="L190" s="80" t="b">
        <v>0</v>
      </c>
    </row>
    <row r="191" spans="1:12" ht="15">
      <c r="A191" s="81" t="s">
        <v>2316</v>
      </c>
      <c r="B191" s="80" t="s">
        <v>2244</v>
      </c>
      <c r="C191" s="80">
        <v>4</v>
      </c>
      <c r="D191" s="104">
        <v>0.0008034605674435303</v>
      </c>
      <c r="E191" s="104">
        <v>1.9586741242383998</v>
      </c>
      <c r="F191" s="80" t="s">
        <v>3370</v>
      </c>
      <c r="G191" s="80" t="b">
        <v>0</v>
      </c>
      <c r="H191" s="80" t="b">
        <v>0</v>
      </c>
      <c r="I191" s="80" t="b">
        <v>0</v>
      </c>
      <c r="J191" s="80" t="b">
        <v>0</v>
      </c>
      <c r="K191" s="80" t="b">
        <v>0</v>
      </c>
      <c r="L191" s="80" t="b">
        <v>0</v>
      </c>
    </row>
    <row r="192" spans="1:12" ht="15">
      <c r="A192" s="81" t="s">
        <v>2220</v>
      </c>
      <c r="B192" s="80" t="s">
        <v>2219</v>
      </c>
      <c r="C192" s="80">
        <v>4</v>
      </c>
      <c r="D192" s="104">
        <v>0.000659599159718808</v>
      </c>
      <c r="E192" s="104">
        <v>0.9854955026823744</v>
      </c>
      <c r="F192" s="80" t="s">
        <v>3370</v>
      </c>
      <c r="G192" s="80" t="b">
        <v>0</v>
      </c>
      <c r="H192" s="80" t="b">
        <v>0</v>
      </c>
      <c r="I192" s="80" t="b">
        <v>0</v>
      </c>
      <c r="J192" s="80" t="b">
        <v>0</v>
      </c>
      <c r="K192" s="80" t="b">
        <v>0</v>
      </c>
      <c r="L192" s="80" t="b">
        <v>0</v>
      </c>
    </row>
    <row r="193" spans="1:12" ht="15">
      <c r="A193" s="81" t="s">
        <v>2575</v>
      </c>
      <c r="B193" s="80" t="s">
        <v>2346</v>
      </c>
      <c r="C193" s="80">
        <v>4</v>
      </c>
      <c r="D193" s="104">
        <v>0.000659599159718808</v>
      </c>
      <c r="E193" s="104">
        <v>2.9177155165594932</v>
      </c>
      <c r="F193" s="80" t="s">
        <v>3370</v>
      </c>
      <c r="G193" s="80" t="b">
        <v>0</v>
      </c>
      <c r="H193" s="80" t="b">
        <v>0</v>
      </c>
      <c r="I193" s="80" t="b">
        <v>0</v>
      </c>
      <c r="J193" s="80" t="b">
        <v>0</v>
      </c>
      <c r="K193" s="80" t="b">
        <v>0</v>
      </c>
      <c r="L193" s="80" t="b">
        <v>0</v>
      </c>
    </row>
    <row r="194" spans="1:12" ht="15">
      <c r="A194" s="81" t="s">
        <v>2346</v>
      </c>
      <c r="B194" s="80" t="s">
        <v>2250</v>
      </c>
      <c r="C194" s="80">
        <v>4</v>
      </c>
      <c r="D194" s="104">
        <v>0.000659599159718808</v>
      </c>
      <c r="E194" s="104">
        <v>2.158047671869863</v>
      </c>
      <c r="F194" s="80" t="s">
        <v>3370</v>
      </c>
      <c r="G194" s="80" t="b">
        <v>0</v>
      </c>
      <c r="H194" s="80" t="b">
        <v>0</v>
      </c>
      <c r="I194" s="80" t="b">
        <v>0</v>
      </c>
      <c r="J194" s="80" t="b">
        <v>0</v>
      </c>
      <c r="K194" s="80" t="b">
        <v>0</v>
      </c>
      <c r="L194" s="80" t="b">
        <v>0</v>
      </c>
    </row>
    <row r="195" spans="1:12" ht="15">
      <c r="A195" s="81" t="s">
        <v>2559</v>
      </c>
      <c r="B195" s="80" t="s">
        <v>2417</v>
      </c>
      <c r="C195" s="80">
        <v>4</v>
      </c>
      <c r="D195" s="104">
        <v>0.000659599159718808</v>
      </c>
      <c r="E195" s="104">
        <v>2.97570746353718</v>
      </c>
      <c r="F195" s="80" t="s">
        <v>3370</v>
      </c>
      <c r="G195" s="80" t="b">
        <v>0</v>
      </c>
      <c r="H195" s="80" t="b">
        <v>0</v>
      </c>
      <c r="I195" s="80" t="b">
        <v>0</v>
      </c>
      <c r="J195" s="80" t="b">
        <v>0</v>
      </c>
      <c r="K195" s="80" t="b">
        <v>0</v>
      </c>
      <c r="L195" s="80" t="b">
        <v>0</v>
      </c>
    </row>
    <row r="196" spans="1:12" ht="15">
      <c r="A196" s="81" t="s">
        <v>2228</v>
      </c>
      <c r="B196" s="80" t="s">
        <v>2223</v>
      </c>
      <c r="C196" s="80">
        <v>4</v>
      </c>
      <c r="D196" s="104">
        <v>0.0008034605674435303</v>
      </c>
      <c r="E196" s="104">
        <v>1.188956041391619</v>
      </c>
      <c r="F196" s="80" t="s">
        <v>3370</v>
      </c>
      <c r="G196" s="80" t="b">
        <v>0</v>
      </c>
      <c r="H196" s="80" t="b">
        <v>0</v>
      </c>
      <c r="I196" s="80" t="b">
        <v>0</v>
      </c>
      <c r="J196" s="80" t="b">
        <v>0</v>
      </c>
      <c r="K196" s="80" t="b">
        <v>0</v>
      </c>
      <c r="L196" s="80" t="b">
        <v>0</v>
      </c>
    </row>
    <row r="197" spans="1:12" ht="15">
      <c r="A197" s="81" t="s">
        <v>2269</v>
      </c>
      <c r="B197" s="80" t="s">
        <v>2273</v>
      </c>
      <c r="C197" s="80">
        <v>4</v>
      </c>
      <c r="D197" s="104">
        <v>0.0008034605674435303</v>
      </c>
      <c r="E197" s="104">
        <v>2.058877665130908</v>
      </c>
      <c r="F197" s="80" t="s">
        <v>3370</v>
      </c>
      <c r="G197" s="80" t="b">
        <v>0</v>
      </c>
      <c r="H197" s="80" t="b">
        <v>0</v>
      </c>
      <c r="I197" s="80" t="b">
        <v>0</v>
      </c>
      <c r="J197" s="80" t="b">
        <v>1</v>
      </c>
      <c r="K197" s="80" t="b">
        <v>0</v>
      </c>
      <c r="L197" s="80" t="b">
        <v>0</v>
      </c>
    </row>
    <row r="198" spans="1:12" ht="15">
      <c r="A198" s="81" t="s">
        <v>2609</v>
      </c>
      <c r="B198" s="80" t="s">
        <v>2628</v>
      </c>
      <c r="C198" s="80">
        <v>4</v>
      </c>
      <c r="D198" s="104">
        <v>0.0008034605674435303</v>
      </c>
      <c r="E198" s="104">
        <v>3.315655525231531</v>
      </c>
      <c r="F198" s="80" t="s">
        <v>3370</v>
      </c>
      <c r="G198" s="80" t="b">
        <v>0</v>
      </c>
      <c r="H198" s="80" t="b">
        <v>0</v>
      </c>
      <c r="I198" s="80" t="b">
        <v>0</v>
      </c>
      <c r="J198" s="80" t="b">
        <v>0</v>
      </c>
      <c r="K198" s="80" t="b">
        <v>0</v>
      </c>
      <c r="L198" s="80" t="b">
        <v>0</v>
      </c>
    </row>
    <row r="199" spans="1:12" ht="15">
      <c r="A199" s="81" t="s">
        <v>2227</v>
      </c>
      <c r="B199" s="80" t="s">
        <v>2565</v>
      </c>
      <c r="C199" s="80">
        <v>4</v>
      </c>
      <c r="D199" s="104">
        <v>0.0009473219751682525</v>
      </c>
      <c r="E199" s="104">
        <v>2.1773528270652496</v>
      </c>
      <c r="F199" s="80" t="s">
        <v>3370</v>
      </c>
      <c r="G199" s="80" t="b">
        <v>0</v>
      </c>
      <c r="H199" s="80" t="b">
        <v>0</v>
      </c>
      <c r="I199" s="80" t="b">
        <v>0</v>
      </c>
      <c r="J199" s="80" t="b">
        <v>0</v>
      </c>
      <c r="K199" s="80" t="b">
        <v>0</v>
      </c>
      <c r="L199" s="80" t="b">
        <v>0</v>
      </c>
    </row>
    <row r="200" spans="1:12" ht="15">
      <c r="A200" s="81" t="s">
        <v>2457</v>
      </c>
      <c r="B200" s="80" t="s">
        <v>2235</v>
      </c>
      <c r="C200" s="80">
        <v>4</v>
      </c>
      <c r="D200" s="104">
        <v>0.000659599159718808</v>
      </c>
      <c r="E200" s="104">
        <v>2.236474279183906</v>
      </c>
      <c r="F200" s="80" t="s">
        <v>3370</v>
      </c>
      <c r="G200" s="80" t="b">
        <v>0</v>
      </c>
      <c r="H200" s="80" t="b">
        <v>0</v>
      </c>
      <c r="I200" s="80" t="b">
        <v>0</v>
      </c>
      <c r="J200" s="80" t="b">
        <v>0</v>
      </c>
      <c r="K200" s="80" t="b">
        <v>0</v>
      </c>
      <c r="L200" s="80" t="b">
        <v>0</v>
      </c>
    </row>
    <row r="201" spans="1:12" ht="15">
      <c r="A201" s="81" t="s">
        <v>2421</v>
      </c>
      <c r="B201" s="80" t="s">
        <v>2354</v>
      </c>
      <c r="C201" s="80">
        <v>4</v>
      </c>
      <c r="D201" s="104">
        <v>0.0009473219751682525</v>
      </c>
      <c r="E201" s="104">
        <v>2.720434958433874</v>
      </c>
      <c r="F201" s="80" t="s">
        <v>3370</v>
      </c>
      <c r="G201" s="80" t="b">
        <v>0</v>
      </c>
      <c r="H201" s="80" t="b">
        <v>0</v>
      </c>
      <c r="I201" s="80" t="b">
        <v>0</v>
      </c>
      <c r="J201" s="80" t="b">
        <v>0</v>
      </c>
      <c r="K201" s="80" t="b">
        <v>0</v>
      </c>
      <c r="L201" s="80" t="b">
        <v>0</v>
      </c>
    </row>
    <row r="202" spans="1:12" ht="15">
      <c r="A202" s="81" t="s">
        <v>2224</v>
      </c>
      <c r="B202" s="80" t="s">
        <v>2240</v>
      </c>
      <c r="C202" s="80">
        <v>4</v>
      </c>
      <c r="D202" s="104">
        <v>0.000659599159718808</v>
      </c>
      <c r="E202" s="104">
        <v>1.358407505652481</v>
      </c>
      <c r="F202" s="80" t="s">
        <v>3370</v>
      </c>
      <c r="G202" s="80" t="b">
        <v>0</v>
      </c>
      <c r="H202" s="80" t="b">
        <v>0</v>
      </c>
      <c r="I202" s="80" t="b">
        <v>0</v>
      </c>
      <c r="J202" s="80" t="b">
        <v>0</v>
      </c>
      <c r="K202" s="80" t="b">
        <v>0</v>
      </c>
      <c r="L202" s="80" t="b">
        <v>0</v>
      </c>
    </row>
    <row r="203" spans="1:12" ht="15">
      <c r="A203" s="81" t="s">
        <v>2452</v>
      </c>
      <c r="B203" s="80" t="s">
        <v>2221</v>
      </c>
      <c r="C203" s="80">
        <v>3</v>
      </c>
      <c r="D203" s="104">
        <v>0.0005394802789677083</v>
      </c>
      <c r="E203" s="104">
        <v>1.8924096512947233</v>
      </c>
      <c r="F203" s="80" t="s">
        <v>3370</v>
      </c>
      <c r="G203" s="80" t="b">
        <v>0</v>
      </c>
      <c r="H203" s="80" t="b">
        <v>0</v>
      </c>
      <c r="I203" s="80" t="b">
        <v>0</v>
      </c>
      <c r="J203" s="80" t="b">
        <v>0</v>
      </c>
      <c r="K203" s="80" t="b">
        <v>0</v>
      </c>
      <c r="L203" s="80" t="b">
        <v>0</v>
      </c>
    </row>
    <row r="204" spans="1:12" ht="15">
      <c r="A204" s="81" t="s">
        <v>2226</v>
      </c>
      <c r="B204" s="80" t="s">
        <v>2216</v>
      </c>
      <c r="C204" s="80">
        <v>3</v>
      </c>
      <c r="D204" s="104">
        <v>0.0005394802789677083</v>
      </c>
      <c r="E204" s="104">
        <v>0.8089250609597217</v>
      </c>
      <c r="F204" s="80" t="s">
        <v>3370</v>
      </c>
      <c r="G204" s="80" t="b">
        <v>0</v>
      </c>
      <c r="H204" s="80" t="b">
        <v>0</v>
      </c>
      <c r="I204" s="80" t="b">
        <v>0</v>
      </c>
      <c r="J204" s="80" t="b">
        <v>0</v>
      </c>
      <c r="K204" s="80" t="b">
        <v>0</v>
      </c>
      <c r="L204" s="80" t="b">
        <v>0</v>
      </c>
    </row>
    <row r="205" spans="1:12" ht="15">
      <c r="A205" s="81" t="s">
        <v>2458</v>
      </c>
      <c r="B205" s="80" t="s">
        <v>2366</v>
      </c>
      <c r="C205" s="80">
        <v>3</v>
      </c>
      <c r="D205" s="104">
        <v>0.0005394802789677083</v>
      </c>
      <c r="E205" s="104">
        <v>2.6624430114561872</v>
      </c>
      <c r="F205" s="80" t="s">
        <v>3370</v>
      </c>
      <c r="G205" s="80" t="b">
        <v>0</v>
      </c>
      <c r="H205" s="80" t="b">
        <v>0</v>
      </c>
      <c r="I205" s="80" t="b">
        <v>0</v>
      </c>
      <c r="J205" s="80" t="b">
        <v>0</v>
      </c>
      <c r="K205" s="80" t="b">
        <v>0</v>
      </c>
      <c r="L205" s="80" t="b">
        <v>0</v>
      </c>
    </row>
    <row r="206" spans="1:12" ht="15">
      <c r="A206" s="81" t="s">
        <v>2477</v>
      </c>
      <c r="B206" s="80" t="s">
        <v>2615</v>
      </c>
      <c r="C206" s="80">
        <v>3</v>
      </c>
      <c r="D206" s="104">
        <v>0.0005394802789677083</v>
      </c>
      <c r="E206" s="104">
        <v>3.01462552956755</v>
      </c>
      <c r="F206" s="80" t="s">
        <v>3370</v>
      </c>
      <c r="G206" s="80" t="b">
        <v>0</v>
      </c>
      <c r="H206" s="80" t="b">
        <v>0</v>
      </c>
      <c r="I206" s="80" t="b">
        <v>0</v>
      </c>
      <c r="J206" s="80" t="b">
        <v>0</v>
      </c>
      <c r="K206" s="80" t="b">
        <v>0</v>
      </c>
      <c r="L206" s="80" t="b">
        <v>0</v>
      </c>
    </row>
    <row r="207" spans="1:12" ht="15">
      <c r="A207" s="81" t="s">
        <v>2661</v>
      </c>
      <c r="B207" s="80" t="s">
        <v>2305</v>
      </c>
      <c r="C207" s="80">
        <v>3</v>
      </c>
      <c r="D207" s="104">
        <v>0.0005394802789677083</v>
      </c>
      <c r="E207" s="104">
        <v>2.7715874808812555</v>
      </c>
      <c r="F207" s="80" t="s">
        <v>3370</v>
      </c>
      <c r="G207" s="80" t="b">
        <v>0</v>
      </c>
      <c r="H207" s="80" t="b">
        <v>0</v>
      </c>
      <c r="I207" s="80" t="b">
        <v>0</v>
      </c>
      <c r="J207" s="80" t="b">
        <v>0</v>
      </c>
      <c r="K207" s="80" t="b">
        <v>0</v>
      </c>
      <c r="L207" s="80" t="b">
        <v>0</v>
      </c>
    </row>
    <row r="208" spans="1:12" ht="15">
      <c r="A208" s="81" t="s">
        <v>2500</v>
      </c>
      <c r="B208" s="80" t="s">
        <v>2433</v>
      </c>
      <c r="C208" s="80">
        <v>3</v>
      </c>
      <c r="D208" s="104">
        <v>0.0005394802789677083</v>
      </c>
      <c r="E208" s="104">
        <v>3.01462552956755</v>
      </c>
      <c r="F208" s="80" t="s">
        <v>3370</v>
      </c>
      <c r="G208" s="80" t="b">
        <v>0</v>
      </c>
      <c r="H208" s="80" t="b">
        <v>0</v>
      </c>
      <c r="I208" s="80" t="b">
        <v>0</v>
      </c>
      <c r="J208" s="80" t="b">
        <v>0</v>
      </c>
      <c r="K208" s="80" t="b">
        <v>0</v>
      </c>
      <c r="L208" s="80" t="b">
        <v>0</v>
      </c>
    </row>
    <row r="209" spans="1:12" ht="15">
      <c r="A209" s="81" t="s">
        <v>2485</v>
      </c>
      <c r="B209" s="80" t="s">
        <v>2215</v>
      </c>
      <c r="C209" s="80">
        <v>3</v>
      </c>
      <c r="D209" s="104">
        <v>0.0005394802789677083</v>
      </c>
      <c r="E209" s="104">
        <v>1.6576441285744186</v>
      </c>
      <c r="F209" s="80" t="s">
        <v>3370</v>
      </c>
      <c r="G209" s="80" t="b">
        <v>0</v>
      </c>
      <c r="H209" s="80" t="b">
        <v>0</v>
      </c>
      <c r="I209" s="80" t="b">
        <v>0</v>
      </c>
      <c r="J209" s="80" t="b">
        <v>0</v>
      </c>
      <c r="K209" s="80" t="b">
        <v>0</v>
      </c>
      <c r="L209" s="80" t="b">
        <v>0</v>
      </c>
    </row>
    <row r="210" spans="1:12" ht="15">
      <c r="A210" s="81" t="s">
        <v>2317</v>
      </c>
      <c r="B210" s="80" t="s">
        <v>2842</v>
      </c>
      <c r="C210" s="80">
        <v>3</v>
      </c>
      <c r="D210" s="104">
        <v>0.0005394802789677083</v>
      </c>
      <c r="E210" s="104">
        <v>2.8037721642526567</v>
      </c>
      <c r="F210" s="80" t="s">
        <v>3370</v>
      </c>
      <c r="G210" s="80" t="b">
        <v>0</v>
      </c>
      <c r="H210" s="80" t="b">
        <v>0</v>
      </c>
      <c r="I210" s="80" t="b">
        <v>0</v>
      </c>
      <c r="J210" s="80" t="b">
        <v>0</v>
      </c>
      <c r="K210" s="80" t="b">
        <v>0</v>
      </c>
      <c r="L210" s="80" t="b">
        <v>0</v>
      </c>
    </row>
    <row r="211" spans="1:12" ht="15">
      <c r="A211" s="81" t="s">
        <v>2353</v>
      </c>
      <c r="B211" s="80" t="s">
        <v>2355</v>
      </c>
      <c r="C211" s="80">
        <v>3</v>
      </c>
      <c r="D211" s="104">
        <v>0.0005394802789677083</v>
      </c>
      <c r="E211" s="104">
        <v>2.486351752400506</v>
      </c>
      <c r="F211" s="80" t="s">
        <v>3370</v>
      </c>
      <c r="G211" s="80" t="b">
        <v>0</v>
      </c>
      <c r="H211" s="80" t="b">
        <v>0</v>
      </c>
      <c r="I211" s="80" t="b">
        <v>0</v>
      </c>
      <c r="J211" s="80" t="b">
        <v>0</v>
      </c>
      <c r="K211" s="80" t="b">
        <v>0</v>
      </c>
      <c r="L211" s="80" t="b">
        <v>0</v>
      </c>
    </row>
    <row r="212" spans="1:12" ht="15">
      <c r="A212" s="81" t="s">
        <v>2245</v>
      </c>
      <c r="B212" s="80" t="s">
        <v>2323</v>
      </c>
      <c r="C212" s="80">
        <v>3</v>
      </c>
      <c r="D212" s="104">
        <v>0.0005394802789677083</v>
      </c>
      <c r="E212" s="104">
        <v>1.9006821772607132</v>
      </c>
      <c r="F212" s="80" t="s">
        <v>3370</v>
      </c>
      <c r="G212" s="80" t="b">
        <v>0</v>
      </c>
      <c r="H212" s="80" t="b">
        <v>0</v>
      </c>
      <c r="I212" s="80" t="b">
        <v>0</v>
      </c>
      <c r="J212" s="80" t="b">
        <v>0</v>
      </c>
      <c r="K212" s="80" t="b">
        <v>0</v>
      </c>
      <c r="L212" s="80" t="b">
        <v>0</v>
      </c>
    </row>
    <row r="213" spans="1:12" ht="15">
      <c r="A213" s="81" t="s">
        <v>2270</v>
      </c>
      <c r="B213" s="80" t="s">
        <v>2879</v>
      </c>
      <c r="C213" s="80">
        <v>3</v>
      </c>
      <c r="D213" s="104">
        <v>0.0005394802789677083</v>
      </c>
      <c r="E213" s="104">
        <v>2.6872665951812196</v>
      </c>
      <c r="F213" s="80" t="s">
        <v>3370</v>
      </c>
      <c r="G213" s="80" t="b">
        <v>0</v>
      </c>
      <c r="H213" s="80" t="b">
        <v>0</v>
      </c>
      <c r="I213" s="80" t="b">
        <v>0</v>
      </c>
      <c r="J213" s="80" t="b">
        <v>0</v>
      </c>
      <c r="K213" s="80" t="b">
        <v>0</v>
      </c>
      <c r="L213" s="80" t="b">
        <v>0</v>
      </c>
    </row>
    <row r="214" spans="1:12" ht="15">
      <c r="A214" s="81" t="s">
        <v>2465</v>
      </c>
      <c r="B214" s="80" t="s">
        <v>2228</v>
      </c>
      <c r="C214" s="80">
        <v>3</v>
      </c>
      <c r="D214" s="104">
        <v>0.0007104914813761894</v>
      </c>
      <c r="E214" s="104">
        <v>2.036901924278702</v>
      </c>
      <c r="F214" s="80" t="s">
        <v>3370</v>
      </c>
      <c r="G214" s="80" t="b">
        <v>0</v>
      </c>
      <c r="H214" s="80" t="b">
        <v>0</v>
      </c>
      <c r="I214" s="80" t="b">
        <v>0</v>
      </c>
      <c r="J214" s="80" t="b">
        <v>0</v>
      </c>
      <c r="K214" s="80" t="b">
        <v>0</v>
      </c>
      <c r="L214" s="80" t="b">
        <v>0</v>
      </c>
    </row>
    <row r="215" spans="1:12" ht="15">
      <c r="A215" s="81" t="s">
        <v>2710</v>
      </c>
      <c r="B215" s="80" t="s">
        <v>2216</v>
      </c>
      <c r="C215" s="80">
        <v>3</v>
      </c>
      <c r="D215" s="104">
        <v>0.0005394802789677083</v>
      </c>
      <c r="E215" s="104">
        <v>2.0039016641757765</v>
      </c>
      <c r="F215" s="80" t="s">
        <v>3370</v>
      </c>
      <c r="G215" s="80" t="b">
        <v>0</v>
      </c>
      <c r="H215" s="80" t="b">
        <v>0</v>
      </c>
      <c r="I215" s="80" t="b">
        <v>0</v>
      </c>
      <c r="J215" s="80" t="b">
        <v>0</v>
      </c>
      <c r="K215" s="80" t="b">
        <v>0</v>
      </c>
      <c r="L215" s="80" t="b">
        <v>0</v>
      </c>
    </row>
    <row r="216" spans="1:12" ht="15">
      <c r="A216" s="81" t="s">
        <v>2359</v>
      </c>
      <c r="B216" s="80" t="s">
        <v>2364</v>
      </c>
      <c r="C216" s="80">
        <v>3</v>
      </c>
      <c r="D216" s="104">
        <v>0.0005394802789677083</v>
      </c>
      <c r="E216" s="104">
        <v>2.486351752400506</v>
      </c>
      <c r="F216" s="80" t="s">
        <v>3370</v>
      </c>
      <c r="G216" s="80" t="b">
        <v>0</v>
      </c>
      <c r="H216" s="80" t="b">
        <v>0</v>
      </c>
      <c r="I216" s="80" t="b">
        <v>0</v>
      </c>
      <c r="J216" s="80" t="b">
        <v>0</v>
      </c>
      <c r="K216" s="80" t="b">
        <v>0</v>
      </c>
      <c r="L216" s="80" t="b">
        <v>0</v>
      </c>
    </row>
    <row r="217" spans="1:12" ht="15">
      <c r="A217" s="81" t="s">
        <v>2374</v>
      </c>
      <c r="B217" s="80" t="s">
        <v>2604</v>
      </c>
      <c r="C217" s="80">
        <v>3</v>
      </c>
      <c r="D217" s="104">
        <v>0.0006025954255826477</v>
      </c>
      <c r="E217" s="104">
        <v>2.88968679295925</v>
      </c>
      <c r="F217" s="80" t="s">
        <v>3370</v>
      </c>
      <c r="G217" s="80" t="b">
        <v>0</v>
      </c>
      <c r="H217" s="80" t="b">
        <v>0</v>
      </c>
      <c r="I217" s="80" t="b">
        <v>0</v>
      </c>
      <c r="J217" s="80" t="b">
        <v>0</v>
      </c>
      <c r="K217" s="80" t="b">
        <v>0</v>
      </c>
      <c r="L217" s="80" t="b">
        <v>0</v>
      </c>
    </row>
    <row r="218" spans="1:12" ht="15">
      <c r="A218" s="81" t="s">
        <v>2233</v>
      </c>
      <c r="B218" s="80" t="s">
        <v>2407</v>
      </c>
      <c r="C218" s="80">
        <v>3</v>
      </c>
      <c r="D218" s="104">
        <v>0.0005394802789677083</v>
      </c>
      <c r="E218" s="104">
        <v>2.0726174765452368</v>
      </c>
      <c r="F218" s="80" t="s">
        <v>3370</v>
      </c>
      <c r="G218" s="80" t="b">
        <v>0</v>
      </c>
      <c r="H218" s="80" t="b">
        <v>0</v>
      </c>
      <c r="I218" s="80" t="b">
        <v>0</v>
      </c>
      <c r="J218" s="80" t="b">
        <v>0</v>
      </c>
      <c r="K218" s="80" t="b">
        <v>0</v>
      </c>
      <c r="L218" s="80" t="b">
        <v>0</v>
      </c>
    </row>
    <row r="219" spans="1:12" ht="15">
      <c r="A219" s="81" t="s">
        <v>2230</v>
      </c>
      <c r="B219" s="80" t="s">
        <v>2304</v>
      </c>
      <c r="C219" s="80">
        <v>3</v>
      </c>
      <c r="D219" s="104">
        <v>0.0005394802789677083</v>
      </c>
      <c r="E219" s="104">
        <v>1.6359248788811824</v>
      </c>
      <c r="F219" s="80" t="s">
        <v>3370</v>
      </c>
      <c r="G219" s="80" t="b">
        <v>0</v>
      </c>
      <c r="H219" s="80" t="b">
        <v>0</v>
      </c>
      <c r="I219" s="80" t="b">
        <v>0</v>
      </c>
      <c r="J219" s="80" t="b">
        <v>0</v>
      </c>
      <c r="K219" s="80" t="b">
        <v>0</v>
      </c>
      <c r="L219" s="80" t="b">
        <v>0</v>
      </c>
    </row>
    <row r="220" spans="1:12" ht="15">
      <c r="A220" s="81" t="s">
        <v>2371</v>
      </c>
      <c r="B220" s="80" t="s">
        <v>2242</v>
      </c>
      <c r="C220" s="80">
        <v>3</v>
      </c>
      <c r="D220" s="104">
        <v>0.0005394802789677083</v>
      </c>
      <c r="E220" s="104">
        <v>2.044588752944993</v>
      </c>
      <c r="F220" s="80" t="s">
        <v>3370</v>
      </c>
      <c r="G220" s="80" t="b">
        <v>0</v>
      </c>
      <c r="H220" s="80" t="b">
        <v>0</v>
      </c>
      <c r="I220" s="80" t="b">
        <v>0</v>
      </c>
      <c r="J220" s="80" t="b">
        <v>0</v>
      </c>
      <c r="K220" s="80" t="b">
        <v>0</v>
      </c>
      <c r="L220" s="80" t="b">
        <v>0</v>
      </c>
    </row>
    <row r="221" spans="1:12" ht="15">
      <c r="A221" s="81" t="s">
        <v>2254</v>
      </c>
      <c r="B221" s="80" t="s">
        <v>2216</v>
      </c>
      <c r="C221" s="80">
        <v>3</v>
      </c>
      <c r="D221" s="104">
        <v>0.0005394802789677083</v>
      </c>
      <c r="E221" s="104">
        <v>1.138600238073233</v>
      </c>
      <c r="F221" s="80" t="s">
        <v>3370</v>
      </c>
      <c r="G221" s="80" t="b">
        <v>0</v>
      </c>
      <c r="H221" s="80" t="b">
        <v>0</v>
      </c>
      <c r="I221" s="80" t="b">
        <v>0</v>
      </c>
      <c r="J221" s="80" t="b">
        <v>0</v>
      </c>
      <c r="K221" s="80" t="b">
        <v>0</v>
      </c>
      <c r="L221" s="80" t="b">
        <v>0</v>
      </c>
    </row>
    <row r="222" spans="1:12" ht="15">
      <c r="A222" s="81" t="s">
        <v>2364</v>
      </c>
      <c r="B222" s="80" t="s">
        <v>2350</v>
      </c>
      <c r="C222" s="80">
        <v>3</v>
      </c>
      <c r="D222" s="104">
        <v>0.0005394802789677083</v>
      </c>
      <c r="E222" s="104">
        <v>2.440594261839831</v>
      </c>
      <c r="F222" s="80" t="s">
        <v>3370</v>
      </c>
      <c r="G222" s="80" t="b">
        <v>0</v>
      </c>
      <c r="H222" s="80" t="b">
        <v>0</v>
      </c>
      <c r="I222" s="80" t="b">
        <v>0</v>
      </c>
      <c r="J222" s="80" t="b">
        <v>0</v>
      </c>
      <c r="K222" s="80" t="b">
        <v>0</v>
      </c>
      <c r="L222" s="80" t="b">
        <v>0</v>
      </c>
    </row>
    <row r="223" spans="1:12" ht="15">
      <c r="A223" s="81" t="s">
        <v>2706</v>
      </c>
      <c r="B223" s="80" t="s">
        <v>2868</v>
      </c>
      <c r="C223" s="80">
        <v>3</v>
      </c>
      <c r="D223" s="104">
        <v>0.0005394802789677083</v>
      </c>
      <c r="E223" s="104">
        <v>3.440594261839831</v>
      </c>
      <c r="F223" s="80" t="s">
        <v>3370</v>
      </c>
      <c r="G223" s="80" t="b">
        <v>0</v>
      </c>
      <c r="H223" s="80" t="b">
        <v>0</v>
      </c>
      <c r="I223" s="80" t="b">
        <v>0</v>
      </c>
      <c r="J223" s="80" t="b">
        <v>0</v>
      </c>
      <c r="K223" s="80" t="b">
        <v>0</v>
      </c>
      <c r="L223" s="80" t="b">
        <v>0</v>
      </c>
    </row>
    <row r="224" spans="1:12" ht="15">
      <c r="A224" s="81" t="s">
        <v>2221</v>
      </c>
      <c r="B224" s="80" t="s">
        <v>2434</v>
      </c>
      <c r="C224" s="80">
        <v>3</v>
      </c>
      <c r="D224" s="104">
        <v>0.0005394802789677083</v>
      </c>
      <c r="E224" s="104">
        <v>1.8924096512947233</v>
      </c>
      <c r="F224" s="80" t="s">
        <v>3370</v>
      </c>
      <c r="G224" s="80" t="b">
        <v>0</v>
      </c>
      <c r="H224" s="80" t="b">
        <v>0</v>
      </c>
      <c r="I224" s="80" t="b">
        <v>0</v>
      </c>
      <c r="J224" s="80" t="b">
        <v>0</v>
      </c>
      <c r="K224" s="80" t="b">
        <v>0</v>
      </c>
      <c r="L224" s="80" t="b">
        <v>0</v>
      </c>
    </row>
    <row r="225" spans="1:12" ht="15">
      <c r="A225" s="81" t="s">
        <v>2452</v>
      </c>
      <c r="B225" s="80" t="s">
        <v>2234</v>
      </c>
      <c r="C225" s="80">
        <v>3</v>
      </c>
      <c r="D225" s="104">
        <v>0.0005394802789677083</v>
      </c>
      <c r="E225" s="104">
        <v>2.1542875229965563</v>
      </c>
      <c r="F225" s="80" t="s">
        <v>3370</v>
      </c>
      <c r="G225" s="80" t="b">
        <v>0</v>
      </c>
      <c r="H225" s="80" t="b">
        <v>0</v>
      </c>
      <c r="I225" s="80" t="b">
        <v>0</v>
      </c>
      <c r="J225" s="80" t="b">
        <v>0</v>
      </c>
      <c r="K225" s="80" t="b">
        <v>0</v>
      </c>
      <c r="L225" s="80" t="b">
        <v>0</v>
      </c>
    </row>
    <row r="226" spans="1:12" ht="15">
      <c r="A226" s="81" t="s">
        <v>2255</v>
      </c>
      <c r="B226" s="80" t="s">
        <v>2567</v>
      </c>
      <c r="C226" s="80">
        <v>3</v>
      </c>
      <c r="D226" s="104">
        <v>0.0007104914813761894</v>
      </c>
      <c r="E226" s="104">
        <v>2.373647472209218</v>
      </c>
      <c r="F226" s="80" t="s">
        <v>3370</v>
      </c>
      <c r="G226" s="80" t="b">
        <v>1</v>
      </c>
      <c r="H226" s="80" t="b">
        <v>0</v>
      </c>
      <c r="I226" s="80" t="b">
        <v>0</v>
      </c>
      <c r="J226" s="80" t="b">
        <v>0</v>
      </c>
      <c r="K226" s="80" t="b">
        <v>0</v>
      </c>
      <c r="L226" s="80" t="b">
        <v>0</v>
      </c>
    </row>
    <row r="227" spans="1:12" ht="15">
      <c r="A227" s="81" t="s">
        <v>2560</v>
      </c>
      <c r="B227" s="80" t="s">
        <v>2223</v>
      </c>
      <c r="C227" s="80">
        <v>3</v>
      </c>
      <c r="D227" s="104">
        <v>0.0007104914813761894</v>
      </c>
      <c r="E227" s="104">
        <v>1.9882965908452006</v>
      </c>
      <c r="F227" s="80" t="s">
        <v>3370</v>
      </c>
      <c r="G227" s="80" t="b">
        <v>0</v>
      </c>
      <c r="H227" s="80" t="b">
        <v>0</v>
      </c>
      <c r="I227" s="80" t="b">
        <v>0</v>
      </c>
      <c r="J227" s="80" t="b">
        <v>0</v>
      </c>
      <c r="K227" s="80" t="b">
        <v>0</v>
      </c>
      <c r="L227" s="80" t="b">
        <v>0</v>
      </c>
    </row>
    <row r="228" spans="1:12" ht="15">
      <c r="A228" s="81" t="s">
        <v>2273</v>
      </c>
      <c r="B228" s="80" t="s">
        <v>2223</v>
      </c>
      <c r="C228" s="80">
        <v>3</v>
      </c>
      <c r="D228" s="104">
        <v>0.0005394802789677083</v>
      </c>
      <c r="E228" s="104">
        <v>1.4568176738029457</v>
      </c>
      <c r="F228" s="80" t="s">
        <v>3370</v>
      </c>
      <c r="G228" s="80" t="b">
        <v>1</v>
      </c>
      <c r="H228" s="80" t="b">
        <v>0</v>
      </c>
      <c r="I228" s="80" t="b">
        <v>0</v>
      </c>
      <c r="J228" s="80" t="b">
        <v>0</v>
      </c>
      <c r="K228" s="80" t="b">
        <v>0</v>
      </c>
      <c r="L228" s="80" t="b">
        <v>0</v>
      </c>
    </row>
    <row r="229" spans="1:12" ht="15">
      <c r="A229" s="81" t="s">
        <v>2734</v>
      </c>
      <c r="B229" s="80" t="s">
        <v>2249</v>
      </c>
      <c r="C229" s="80">
        <v>3</v>
      </c>
      <c r="D229" s="104">
        <v>0.0005394802789677083</v>
      </c>
      <c r="E229" s="104">
        <v>2.5559876805419006</v>
      </c>
      <c r="F229" s="80" t="s">
        <v>3370</v>
      </c>
      <c r="G229" s="80" t="b">
        <v>0</v>
      </c>
      <c r="H229" s="80" t="b">
        <v>0</v>
      </c>
      <c r="I229" s="80" t="b">
        <v>0</v>
      </c>
      <c r="J229" s="80" t="b">
        <v>0</v>
      </c>
      <c r="K229" s="80" t="b">
        <v>0</v>
      </c>
      <c r="L229" s="80" t="b">
        <v>0</v>
      </c>
    </row>
    <row r="230" spans="1:12" ht="15">
      <c r="A230" s="81" t="s">
        <v>2216</v>
      </c>
      <c r="B230" s="80" t="s">
        <v>2245</v>
      </c>
      <c r="C230" s="80">
        <v>3</v>
      </c>
      <c r="D230" s="104">
        <v>0.0005394802789677083</v>
      </c>
      <c r="E230" s="104">
        <v>1.0660495709246212</v>
      </c>
      <c r="F230" s="80" t="s">
        <v>3370</v>
      </c>
      <c r="G230" s="80" t="b">
        <v>0</v>
      </c>
      <c r="H230" s="80" t="b">
        <v>0</v>
      </c>
      <c r="I230" s="80" t="b">
        <v>0</v>
      </c>
      <c r="J230" s="80" t="b">
        <v>0</v>
      </c>
      <c r="K230" s="80" t="b">
        <v>0</v>
      </c>
      <c r="L230" s="80" t="b">
        <v>0</v>
      </c>
    </row>
    <row r="231" spans="1:12" ht="15">
      <c r="A231" s="81" t="s">
        <v>2350</v>
      </c>
      <c r="B231" s="80" t="s">
        <v>2783</v>
      </c>
      <c r="C231" s="80">
        <v>3</v>
      </c>
      <c r="D231" s="104">
        <v>0.0005394802789677083</v>
      </c>
      <c r="E231" s="104">
        <v>2.9177155165594932</v>
      </c>
      <c r="F231" s="80" t="s">
        <v>3370</v>
      </c>
      <c r="G231" s="80" t="b">
        <v>0</v>
      </c>
      <c r="H231" s="80" t="b">
        <v>0</v>
      </c>
      <c r="I231" s="80" t="b">
        <v>0</v>
      </c>
      <c r="J231" s="80" t="b">
        <v>0</v>
      </c>
      <c r="K231" s="80" t="b">
        <v>0</v>
      </c>
      <c r="L231" s="80" t="b">
        <v>0</v>
      </c>
    </row>
    <row r="232" spans="1:12" ht="15">
      <c r="A232" s="81" t="s">
        <v>2487</v>
      </c>
      <c r="B232" s="80" t="s">
        <v>2441</v>
      </c>
      <c r="C232" s="80">
        <v>3</v>
      </c>
      <c r="D232" s="104">
        <v>0.0007104914813761894</v>
      </c>
      <c r="E232" s="104">
        <v>2.9177155165594932</v>
      </c>
      <c r="F232" s="80" t="s">
        <v>3370</v>
      </c>
      <c r="G232" s="80" t="b">
        <v>0</v>
      </c>
      <c r="H232" s="80" t="b">
        <v>0</v>
      </c>
      <c r="I232" s="80" t="b">
        <v>0</v>
      </c>
      <c r="J232" s="80" t="b">
        <v>0</v>
      </c>
      <c r="K232" s="80" t="b">
        <v>0</v>
      </c>
      <c r="L232" s="80" t="b">
        <v>0</v>
      </c>
    </row>
    <row r="233" spans="1:12" ht="15">
      <c r="A233" s="81" t="s">
        <v>2320</v>
      </c>
      <c r="B233" s="80" t="s">
        <v>2668</v>
      </c>
      <c r="C233" s="80">
        <v>3</v>
      </c>
      <c r="D233" s="104">
        <v>0.0005394802789677083</v>
      </c>
      <c r="E233" s="104">
        <v>2.678833427644357</v>
      </c>
      <c r="F233" s="80" t="s">
        <v>3370</v>
      </c>
      <c r="G233" s="80" t="b">
        <v>0</v>
      </c>
      <c r="H233" s="80" t="b">
        <v>0</v>
      </c>
      <c r="I233" s="80" t="b">
        <v>0</v>
      </c>
      <c r="J233" s="80" t="b">
        <v>0</v>
      </c>
      <c r="K233" s="80" t="b">
        <v>0</v>
      </c>
      <c r="L233" s="80" t="b">
        <v>0</v>
      </c>
    </row>
    <row r="234" spans="1:12" ht="15">
      <c r="A234" s="81" t="s">
        <v>2539</v>
      </c>
      <c r="B234" s="80" t="s">
        <v>2247</v>
      </c>
      <c r="C234" s="80">
        <v>3</v>
      </c>
      <c r="D234" s="104">
        <v>0.0007104914813761894</v>
      </c>
      <c r="E234" s="104">
        <v>2.2979267582710996</v>
      </c>
      <c r="F234" s="80" t="s">
        <v>3370</v>
      </c>
      <c r="G234" s="80" t="b">
        <v>0</v>
      </c>
      <c r="H234" s="80" t="b">
        <v>0</v>
      </c>
      <c r="I234" s="80" t="b">
        <v>0</v>
      </c>
      <c r="J234" s="80" t="b">
        <v>0</v>
      </c>
      <c r="K234" s="80" t="b">
        <v>0</v>
      </c>
      <c r="L234" s="80" t="b">
        <v>0</v>
      </c>
    </row>
    <row r="235" spans="1:12" ht="15">
      <c r="A235" s="81" t="s">
        <v>2450</v>
      </c>
      <c r="B235" s="80" t="s">
        <v>2311</v>
      </c>
      <c r="C235" s="80">
        <v>3</v>
      </c>
      <c r="D235" s="104">
        <v>0.0005394802789677083</v>
      </c>
      <c r="E235" s="104">
        <v>2.5027421685886755</v>
      </c>
      <c r="F235" s="80" t="s">
        <v>3370</v>
      </c>
      <c r="G235" s="80" t="b">
        <v>0</v>
      </c>
      <c r="H235" s="80" t="b">
        <v>0</v>
      </c>
      <c r="I235" s="80" t="b">
        <v>0</v>
      </c>
      <c r="J235" s="80" t="b">
        <v>0</v>
      </c>
      <c r="K235" s="80" t="b">
        <v>0</v>
      </c>
      <c r="L235" s="80" t="b">
        <v>0</v>
      </c>
    </row>
    <row r="236" spans="1:12" ht="15">
      <c r="A236" s="81" t="s">
        <v>2628</v>
      </c>
      <c r="B236" s="80" t="s">
        <v>2843</v>
      </c>
      <c r="C236" s="80">
        <v>3</v>
      </c>
      <c r="D236" s="104">
        <v>0.0007104914813761894</v>
      </c>
      <c r="E236" s="104">
        <v>3.315655525231531</v>
      </c>
      <c r="F236" s="80" t="s">
        <v>3370</v>
      </c>
      <c r="G236" s="80" t="b">
        <v>0</v>
      </c>
      <c r="H236" s="80" t="b">
        <v>0</v>
      </c>
      <c r="I236" s="80" t="b">
        <v>0</v>
      </c>
      <c r="J236" s="80" t="b">
        <v>0</v>
      </c>
      <c r="K236" s="80" t="b">
        <v>0</v>
      </c>
      <c r="L236" s="80" t="b">
        <v>0</v>
      </c>
    </row>
    <row r="237" spans="1:12" ht="15">
      <c r="A237" s="81" t="s">
        <v>2272</v>
      </c>
      <c r="B237" s="80" t="s">
        <v>2277</v>
      </c>
      <c r="C237" s="80">
        <v>3</v>
      </c>
      <c r="D237" s="104">
        <v>0.0005394802789677083</v>
      </c>
      <c r="E237" s="104">
        <v>1.9865968059673063</v>
      </c>
      <c r="F237" s="80" t="s">
        <v>3370</v>
      </c>
      <c r="G237" s="80" t="b">
        <v>0</v>
      </c>
      <c r="H237" s="80" t="b">
        <v>0</v>
      </c>
      <c r="I237" s="80" t="b">
        <v>0</v>
      </c>
      <c r="J237" s="80" t="b">
        <v>0</v>
      </c>
      <c r="K237" s="80" t="b">
        <v>0</v>
      </c>
      <c r="L237" s="80" t="b">
        <v>0</v>
      </c>
    </row>
    <row r="238" spans="1:12" ht="15">
      <c r="A238" s="81" t="s">
        <v>2861</v>
      </c>
      <c r="B238" s="80" t="s">
        <v>2241</v>
      </c>
      <c r="C238" s="80">
        <v>3</v>
      </c>
      <c r="D238" s="104">
        <v>0.0007104914813761894</v>
      </c>
      <c r="E238" s="104">
        <v>2.4705574852172743</v>
      </c>
      <c r="F238" s="80" t="s">
        <v>3370</v>
      </c>
      <c r="G238" s="80" t="b">
        <v>0</v>
      </c>
      <c r="H238" s="80" t="b">
        <v>0</v>
      </c>
      <c r="I238" s="80" t="b">
        <v>0</v>
      </c>
      <c r="J238" s="80" t="b">
        <v>0</v>
      </c>
      <c r="K238" s="80" t="b">
        <v>0</v>
      </c>
      <c r="L238" s="80" t="b">
        <v>0</v>
      </c>
    </row>
    <row r="239" spans="1:12" ht="15">
      <c r="A239" s="81" t="s">
        <v>2447</v>
      </c>
      <c r="B239" s="80" t="s">
        <v>2834</v>
      </c>
      <c r="C239" s="80">
        <v>3</v>
      </c>
      <c r="D239" s="104">
        <v>0.0005394802789677083</v>
      </c>
      <c r="E239" s="104">
        <v>3.13956426617585</v>
      </c>
      <c r="F239" s="80" t="s">
        <v>3370</v>
      </c>
      <c r="G239" s="80" t="b">
        <v>0</v>
      </c>
      <c r="H239" s="80" t="b">
        <v>0</v>
      </c>
      <c r="I239" s="80" t="b">
        <v>0</v>
      </c>
      <c r="J239" s="80" t="b">
        <v>0</v>
      </c>
      <c r="K239" s="80" t="b">
        <v>0</v>
      </c>
      <c r="L239" s="80" t="b">
        <v>0</v>
      </c>
    </row>
    <row r="240" spans="1:12" ht="15">
      <c r="A240" s="81" t="s">
        <v>2221</v>
      </c>
      <c r="B240" s="80" t="s">
        <v>2433</v>
      </c>
      <c r="C240" s="80">
        <v>3</v>
      </c>
      <c r="D240" s="104">
        <v>0.0005394802789677083</v>
      </c>
      <c r="E240" s="104">
        <v>1.8924096512947233</v>
      </c>
      <c r="F240" s="80" t="s">
        <v>3370</v>
      </c>
      <c r="G240" s="80" t="b">
        <v>0</v>
      </c>
      <c r="H240" s="80" t="b">
        <v>0</v>
      </c>
      <c r="I240" s="80" t="b">
        <v>0</v>
      </c>
      <c r="J240" s="80" t="b">
        <v>0</v>
      </c>
      <c r="K240" s="80" t="b">
        <v>0</v>
      </c>
      <c r="L240" s="80" t="b">
        <v>0</v>
      </c>
    </row>
    <row r="241" spans="1:12" ht="15">
      <c r="A241" s="81" t="s">
        <v>2543</v>
      </c>
      <c r="B241" s="80" t="s">
        <v>2421</v>
      </c>
      <c r="C241" s="80">
        <v>3</v>
      </c>
      <c r="D241" s="104">
        <v>0.0007104914813761894</v>
      </c>
      <c r="E241" s="104">
        <v>2.85076872692888</v>
      </c>
      <c r="F241" s="80" t="s">
        <v>3370</v>
      </c>
      <c r="G241" s="80" t="b">
        <v>0</v>
      </c>
      <c r="H241" s="80" t="b">
        <v>0</v>
      </c>
      <c r="I241" s="80" t="b">
        <v>0</v>
      </c>
      <c r="J241" s="80" t="b">
        <v>0</v>
      </c>
      <c r="K241" s="80" t="b">
        <v>0</v>
      </c>
      <c r="L241" s="80" t="b">
        <v>0</v>
      </c>
    </row>
    <row r="242" spans="1:12" ht="15">
      <c r="A242" s="81" t="s">
        <v>2612</v>
      </c>
      <c r="B242" s="80" t="s">
        <v>2450</v>
      </c>
      <c r="C242" s="80">
        <v>3</v>
      </c>
      <c r="D242" s="104">
        <v>0.0005394802789677083</v>
      </c>
      <c r="E242" s="104">
        <v>3.01462552956755</v>
      </c>
      <c r="F242" s="80" t="s">
        <v>3370</v>
      </c>
      <c r="G242" s="80" t="b">
        <v>0</v>
      </c>
      <c r="H242" s="80" t="b">
        <v>0</v>
      </c>
      <c r="I242" s="80" t="b">
        <v>0</v>
      </c>
      <c r="J242" s="80" t="b">
        <v>0</v>
      </c>
      <c r="K242" s="80" t="b">
        <v>0</v>
      </c>
      <c r="L242" s="80" t="b">
        <v>0</v>
      </c>
    </row>
    <row r="243" spans="1:12" ht="15">
      <c r="A243" s="81" t="s">
        <v>2436</v>
      </c>
      <c r="B243" s="80" t="s">
        <v>2335</v>
      </c>
      <c r="C243" s="80">
        <v>3</v>
      </c>
      <c r="D243" s="104">
        <v>0.0005394802789677083</v>
      </c>
      <c r="E243" s="104">
        <v>2.575292835737287</v>
      </c>
      <c r="F243" s="80" t="s">
        <v>3370</v>
      </c>
      <c r="G243" s="80" t="b">
        <v>0</v>
      </c>
      <c r="H243" s="80" t="b">
        <v>0</v>
      </c>
      <c r="I243" s="80" t="b">
        <v>0</v>
      </c>
      <c r="J243" s="80" t="b">
        <v>0</v>
      </c>
      <c r="K243" s="80" t="b">
        <v>0</v>
      </c>
      <c r="L243" s="80" t="b">
        <v>0</v>
      </c>
    </row>
    <row r="244" spans="1:12" ht="15">
      <c r="A244" s="81" t="s">
        <v>2860</v>
      </c>
      <c r="B244" s="80" t="s">
        <v>2245</v>
      </c>
      <c r="C244" s="80">
        <v>3</v>
      </c>
      <c r="D244" s="104">
        <v>0.0005394802789677083</v>
      </c>
      <c r="E244" s="104">
        <v>2.5027421685886755</v>
      </c>
      <c r="F244" s="80" t="s">
        <v>3370</v>
      </c>
      <c r="G244" s="80" t="b">
        <v>0</v>
      </c>
      <c r="H244" s="80" t="b">
        <v>0</v>
      </c>
      <c r="I244" s="80" t="b">
        <v>0</v>
      </c>
      <c r="J244" s="80" t="b">
        <v>0</v>
      </c>
      <c r="K244" s="80" t="b">
        <v>0</v>
      </c>
      <c r="L244" s="80" t="b">
        <v>0</v>
      </c>
    </row>
    <row r="245" spans="1:12" ht="15">
      <c r="A245" s="81" t="s">
        <v>2283</v>
      </c>
      <c r="B245" s="80" t="s">
        <v>2612</v>
      </c>
      <c r="C245" s="80">
        <v>3</v>
      </c>
      <c r="D245" s="104">
        <v>0.0005394802789677083</v>
      </c>
      <c r="E245" s="104">
        <v>2.616685520895512</v>
      </c>
      <c r="F245" s="80" t="s">
        <v>3370</v>
      </c>
      <c r="G245" s="80" t="b">
        <v>0</v>
      </c>
      <c r="H245" s="80" t="b">
        <v>0</v>
      </c>
      <c r="I245" s="80" t="b">
        <v>0</v>
      </c>
      <c r="J245" s="80" t="b">
        <v>0</v>
      </c>
      <c r="K245" s="80" t="b">
        <v>0</v>
      </c>
      <c r="L245" s="80" t="b">
        <v>0</v>
      </c>
    </row>
    <row r="246" spans="1:12" ht="15">
      <c r="A246" s="81" t="s">
        <v>2434</v>
      </c>
      <c r="B246" s="80" t="s">
        <v>2371</v>
      </c>
      <c r="C246" s="80">
        <v>3</v>
      </c>
      <c r="D246" s="104">
        <v>0.0005394802789677083</v>
      </c>
      <c r="E246" s="104">
        <v>2.7135955339035687</v>
      </c>
      <c r="F246" s="80" t="s">
        <v>3370</v>
      </c>
      <c r="G246" s="80" t="b">
        <v>0</v>
      </c>
      <c r="H246" s="80" t="b">
        <v>0</v>
      </c>
      <c r="I246" s="80" t="b">
        <v>0</v>
      </c>
      <c r="J246" s="80" t="b">
        <v>0</v>
      </c>
      <c r="K246" s="80" t="b">
        <v>0</v>
      </c>
      <c r="L246" s="80" t="b">
        <v>0</v>
      </c>
    </row>
    <row r="247" spans="1:12" ht="15">
      <c r="A247" s="81" t="s">
        <v>2847</v>
      </c>
      <c r="B247" s="80" t="s">
        <v>2845</v>
      </c>
      <c r="C247" s="80">
        <v>3</v>
      </c>
      <c r="D247" s="104">
        <v>0.0005394802789677083</v>
      </c>
      <c r="E247" s="104">
        <v>3.440594261839831</v>
      </c>
      <c r="F247" s="80" t="s">
        <v>3370</v>
      </c>
      <c r="G247" s="80" t="b">
        <v>0</v>
      </c>
      <c r="H247" s="80" t="b">
        <v>0</v>
      </c>
      <c r="I247" s="80" t="b">
        <v>0</v>
      </c>
      <c r="J247" s="80" t="b">
        <v>0</v>
      </c>
      <c r="K247" s="80" t="b">
        <v>0</v>
      </c>
      <c r="L247" s="80" t="b">
        <v>0</v>
      </c>
    </row>
    <row r="248" spans="1:12" ht="15">
      <c r="A248" s="81" t="s">
        <v>2463</v>
      </c>
      <c r="B248" s="80" t="s">
        <v>2213</v>
      </c>
      <c r="C248" s="80">
        <v>3</v>
      </c>
      <c r="D248" s="104">
        <v>0.0005394802789677083</v>
      </c>
      <c r="E248" s="104">
        <v>1.5597806695590397</v>
      </c>
      <c r="F248" s="80" t="s">
        <v>3370</v>
      </c>
      <c r="G248" s="80" t="b">
        <v>0</v>
      </c>
      <c r="H248" s="80" t="b">
        <v>0</v>
      </c>
      <c r="I248" s="80" t="b">
        <v>0</v>
      </c>
      <c r="J248" s="80" t="b">
        <v>0</v>
      </c>
      <c r="K248" s="80" t="b">
        <v>0</v>
      </c>
      <c r="L248" s="80" t="b">
        <v>0</v>
      </c>
    </row>
    <row r="249" spans="1:12" ht="15">
      <c r="A249" s="81" t="s">
        <v>2350</v>
      </c>
      <c r="B249" s="80" t="s">
        <v>2803</v>
      </c>
      <c r="C249" s="80">
        <v>3</v>
      </c>
      <c r="D249" s="104">
        <v>0.0006025954255826477</v>
      </c>
      <c r="E249" s="104">
        <v>2.9177155165594932</v>
      </c>
      <c r="F249" s="80" t="s">
        <v>3370</v>
      </c>
      <c r="G249" s="80" t="b">
        <v>0</v>
      </c>
      <c r="H249" s="80" t="b">
        <v>0</v>
      </c>
      <c r="I249" s="80" t="b">
        <v>0</v>
      </c>
      <c r="J249" s="80" t="b">
        <v>0</v>
      </c>
      <c r="K249" s="80" t="b">
        <v>0</v>
      </c>
      <c r="L249" s="80" t="b">
        <v>0</v>
      </c>
    </row>
    <row r="250" spans="1:12" ht="15">
      <c r="A250" s="81" t="s">
        <v>2711</v>
      </c>
      <c r="B250" s="80" t="s">
        <v>2485</v>
      </c>
      <c r="C250" s="80">
        <v>3</v>
      </c>
      <c r="D250" s="104">
        <v>0.0005394802789677083</v>
      </c>
      <c r="E250" s="104">
        <v>3.13956426617585</v>
      </c>
      <c r="F250" s="80" t="s">
        <v>3370</v>
      </c>
      <c r="G250" s="80" t="b">
        <v>0</v>
      </c>
      <c r="H250" s="80" t="b">
        <v>0</v>
      </c>
      <c r="I250" s="80" t="b">
        <v>0</v>
      </c>
      <c r="J250" s="80" t="b">
        <v>0</v>
      </c>
      <c r="K250" s="80" t="b">
        <v>0</v>
      </c>
      <c r="L250" s="80" t="b">
        <v>0</v>
      </c>
    </row>
    <row r="251" spans="1:12" ht="15">
      <c r="A251" s="81" t="s">
        <v>2229</v>
      </c>
      <c r="B251" s="80" t="s">
        <v>2520</v>
      </c>
      <c r="C251" s="80">
        <v>3</v>
      </c>
      <c r="D251" s="104">
        <v>0.0005394802789677083</v>
      </c>
      <c r="E251" s="104">
        <v>2.179992923231458</v>
      </c>
      <c r="F251" s="80" t="s">
        <v>3370</v>
      </c>
      <c r="G251" s="80" t="b">
        <v>0</v>
      </c>
      <c r="H251" s="80" t="b">
        <v>0</v>
      </c>
      <c r="I251" s="80" t="b">
        <v>0</v>
      </c>
      <c r="J251" s="80" t="b">
        <v>0</v>
      </c>
      <c r="K251" s="80" t="b">
        <v>0</v>
      </c>
      <c r="L251" s="80" t="b">
        <v>0</v>
      </c>
    </row>
    <row r="252" spans="1:12" ht="15">
      <c r="A252" s="81" t="s">
        <v>2216</v>
      </c>
      <c r="B252" s="80" t="s">
        <v>2280</v>
      </c>
      <c r="C252" s="80">
        <v>3</v>
      </c>
      <c r="D252" s="104">
        <v>0.0005394802789677083</v>
      </c>
      <c r="E252" s="104">
        <v>1.2769029362395143</v>
      </c>
      <c r="F252" s="80" t="s">
        <v>3370</v>
      </c>
      <c r="G252" s="80" t="b">
        <v>0</v>
      </c>
      <c r="H252" s="80" t="b">
        <v>0</v>
      </c>
      <c r="I252" s="80" t="b">
        <v>0</v>
      </c>
      <c r="J252" s="80" t="b">
        <v>0</v>
      </c>
      <c r="K252" s="80" t="b">
        <v>0</v>
      </c>
      <c r="L252" s="80" t="b">
        <v>0</v>
      </c>
    </row>
    <row r="253" spans="1:12" ht="15">
      <c r="A253" s="81" t="s">
        <v>2224</v>
      </c>
      <c r="B253" s="80" t="s">
        <v>2477</v>
      </c>
      <c r="C253" s="80">
        <v>3</v>
      </c>
      <c r="D253" s="104">
        <v>0.0005394802789677083</v>
      </c>
      <c r="E253" s="104">
        <v>1.9177155165594935</v>
      </c>
      <c r="F253" s="80" t="s">
        <v>3370</v>
      </c>
      <c r="G253" s="80" t="b">
        <v>0</v>
      </c>
      <c r="H253" s="80" t="b">
        <v>0</v>
      </c>
      <c r="I253" s="80" t="b">
        <v>0</v>
      </c>
      <c r="J253" s="80" t="b">
        <v>0</v>
      </c>
      <c r="K253" s="80" t="b">
        <v>0</v>
      </c>
      <c r="L253" s="80" t="b">
        <v>0</v>
      </c>
    </row>
    <row r="254" spans="1:12" ht="15">
      <c r="A254" s="81" t="s">
        <v>2773</v>
      </c>
      <c r="B254" s="80" t="s">
        <v>2710</v>
      </c>
      <c r="C254" s="80">
        <v>3</v>
      </c>
      <c r="D254" s="104">
        <v>0.0005394802789677083</v>
      </c>
      <c r="E254" s="104">
        <v>3.440594261839831</v>
      </c>
      <c r="F254" s="80" t="s">
        <v>3370</v>
      </c>
      <c r="G254" s="80" t="b">
        <v>0</v>
      </c>
      <c r="H254" s="80" t="b">
        <v>0</v>
      </c>
      <c r="I254" s="80" t="b">
        <v>0</v>
      </c>
      <c r="J254" s="80" t="b">
        <v>0</v>
      </c>
      <c r="K254" s="80" t="b">
        <v>0</v>
      </c>
      <c r="L254" s="80" t="b">
        <v>0</v>
      </c>
    </row>
    <row r="255" spans="1:12" ht="15">
      <c r="A255" s="81" t="s">
        <v>2290</v>
      </c>
      <c r="B255" s="80" t="s">
        <v>2445</v>
      </c>
      <c r="C255" s="80">
        <v>3</v>
      </c>
      <c r="D255" s="104">
        <v>0.0005394802789677083</v>
      </c>
      <c r="E255" s="104">
        <v>2.440594261839831</v>
      </c>
      <c r="F255" s="80" t="s">
        <v>3370</v>
      </c>
      <c r="G255" s="80" t="b">
        <v>0</v>
      </c>
      <c r="H255" s="80" t="b">
        <v>0</v>
      </c>
      <c r="I255" s="80" t="b">
        <v>0</v>
      </c>
      <c r="J255" s="80" t="b">
        <v>0</v>
      </c>
      <c r="K255" s="80" t="b">
        <v>0</v>
      </c>
      <c r="L255" s="80" t="b">
        <v>0</v>
      </c>
    </row>
    <row r="256" spans="1:12" ht="15">
      <c r="A256" s="81" t="s">
        <v>2320</v>
      </c>
      <c r="B256" s="80" t="s">
        <v>2608</v>
      </c>
      <c r="C256" s="80">
        <v>3</v>
      </c>
      <c r="D256" s="104">
        <v>0.0005394802789677083</v>
      </c>
      <c r="E256" s="104">
        <v>2.678833427644357</v>
      </c>
      <c r="F256" s="80" t="s">
        <v>3370</v>
      </c>
      <c r="G256" s="80" t="b">
        <v>0</v>
      </c>
      <c r="H256" s="80" t="b">
        <v>0</v>
      </c>
      <c r="I256" s="80" t="b">
        <v>0</v>
      </c>
      <c r="J256" s="80" t="b">
        <v>0</v>
      </c>
      <c r="K256" s="80" t="b">
        <v>0</v>
      </c>
      <c r="L256" s="80" t="b">
        <v>0</v>
      </c>
    </row>
    <row r="257" spans="1:12" ht="15">
      <c r="A257" s="81" t="s">
        <v>2305</v>
      </c>
      <c r="B257" s="80" t="s">
        <v>2320</v>
      </c>
      <c r="C257" s="80">
        <v>3</v>
      </c>
      <c r="D257" s="104">
        <v>0.0005394802789677083</v>
      </c>
      <c r="E257" s="104">
        <v>2.134765383294081</v>
      </c>
      <c r="F257" s="80" t="s">
        <v>3370</v>
      </c>
      <c r="G257" s="80" t="b">
        <v>0</v>
      </c>
      <c r="H257" s="80" t="b">
        <v>0</v>
      </c>
      <c r="I257" s="80" t="b">
        <v>0</v>
      </c>
      <c r="J257" s="80" t="b">
        <v>0</v>
      </c>
      <c r="K257" s="80" t="b">
        <v>0</v>
      </c>
      <c r="L257" s="80" t="b">
        <v>0</v>
      </c>
    </row>
    <row r="258" spans="1:12" ht="15">
      <c r="A258" s="81" t="s">
        <v>2876</v>
      </c>
      <c r="B258" s="80" t="s">
        <v>2301</v>
      </c>
      <c r="C258" s="80">
        <v>3</v>
      </c>
      <c r="D258" s="104">
        <v>0.0005394802789677083</v>
      </c>
      <c r="E258" s="104">
        <v>2.7715874808812555</v>
      </c>
      <c r="F258" s="80" t="s">
        <v>3370</v>
      </c>
      <c r="G258" s="80" t="b">
        <v>0</v>
      </c>
      <c r="H258" s="80" t="b">
        <v>0</v>
      </c>
      <c r="I258" s="80" t="b">
        <v>0</v>
      </c>
      <c r="J258" s="80" t="b">
        <v>0</v>
      </c>
      <c r="K258" s="80" t="b">
        <v>0</v>
      </c>
      <c r="L258" s="80" t="b">
        <v>0</v>
      </c>
    </row>
    <row r="259" spans="1:12" ht="15">
      <c r="A259" s="81" t="s">
        <v>2405</v>
      </c>
      <c r="B259" s="80" t="s">
        <v>2229</v>
      </c>
      <c r="C259" s="80">
        <v>3</v>
      </c>
      <c r="D259" s="104">
        <v>0.0007104914813761894</v>
      </c>
      <c r="E259" s="104">
        <v>1.9369548745451635</v>
      </c>
      <c r="F259" s="80" t="s">
        <v>3370</v>
      </c>
      <c r="G259" s="80" t="b">
        <v>0</v>
      </c>
      <c r="H259" s="80" t="b">
        <v>0</v>
      </c>
      <c r="I259" s="80" t="b">
        <v>0</v>
      </c>
      <c r="J259" s="80" t="b">
        <v>0</v>
      </c>
      <c r="K259" s="80" t="b">
        <v>0</v>
      </c>
      <c r="L259" s="80" t="b">
        <v>0</v>
      </c>
    </row>
    <row r="260" spans="1:12" ht="15">
      <c r="A260" s="81" t="s">
        <v>2417</v>
      </c>
      <c r="B260" s="80" t="s">
        <v>2661</v>
      </c>
      <c r="C260" s="80">
        <v>3</v>
      </c>
      <c r="D260" s="104">
        <v>0.0005394802789677083</v>
      </c>
      <c r="E260" s="104">
        <v>2.9476787399369364</v>
      </c>
      <c r="F260" s="80" t="s">
        <v>3370</v>
      </c>
      <c r="G260" s="80" t="b">
        <v>0</v>
      </c>
      <c r="H260" s="80" t="b">
        <v>0</v>
      </c>
      <c r="I260" s="80" t="b">
        <v>0</v>
      </c>
      <c r="J260" s="80" t="b">
        <v>0</v>
      </c>
      <c r="K260" s="80" t="b">
        <v>0</v>
      </c>
      <c r="L260" s="80" t="b">
        <v>0</v>
      </c>
    </row>
    <row r="261" spans="1:12" ht="15">
      <c r="A261" s="81" t="s">
        <v>2601</v>
      </c>
      <c r="B261" s="80" t="s">
        <v>2876</v>
      </c>
      <c r="C261" s="80">
        <v>3</v>
      </c>
      <c r="D261" s="104">
        <v>0.0005394802789677083</v>
      </c>
      <c r="E261" s="104">
        <v>3.315655525231531</v>
      </c>
      <c r="F261" s="80" t="s">
        <v>3370</v>
      </c>
      <c r="G261" s="80" t="b">
        <v>0</v>
      </c>
      <c r="H261" s="80" t="b">
        <v>0</v>
      </c>
      <c r="I261" s="80" t="b">
        <v>0</v>
      </c>
      <c r="J261" s="80" t="b">
        <v>0</v>
      </c>
      <c r="K261" s="80" t="b">
        <v>0</v>
      </c>
      <c r="L261" s="80" t="b">
        <v>0</v>
      </c>
    </row>
    <row r="262" spans="1:12" ht="15">
      <c r="A262" s="81" t="s">
        <v>2364</v>
      </c>
      <c r="B262" s="80" t="s">
        <v>2305</v>
      </c>
      <c r="C262" s="80">
        <v>3</v>
      </c>
      <c r="D262" s="104">
        <v>0.0005394802789677083</v>
      </c>
      <c r="E262" s="104">
        <v>2.294466226161593</v>
      </c>
      <c r="F262" s="80" t="s">
        <v>3370</v>
      </c>
      <c r="G262" s="80" t="b">
        <v>0</v>
      </c>
      <c r="H262" s="80" t="b">
        <v>0</v>
      </c>
      <c r="I262" s="80" t="b">
        <v>0</v>
      </c>
      <c r="J262" s="80" t="b">
        <v>0</v>
      </c>
      <c r="K262" s="80" t="b">
        <v>0</v>
      </c>
      <c r="L262" s="80" t="b">
        <v>0</v>
      </c>
    </row>
    <row r="263" spans="1:12" ht="15">
      <c r="A263" s="81" t="s">
        <v>2245</v>
      </c>
      <c r="B263" s="80" t="s">
        <v>2262</v>
      </c>
      <c r="C263" s="80">
        <v>3</v>
      </c>
      <c r="D263" s="104">
        <v>0.0006025954255826477</v>
      </c>
      <c r="E263" s="104">
        <v>1.701109822355509</v>
      </c>
      <c r="F263" s="80" t="s">
        <v>3370</v>
      </c>
      <c r="G263" s="80" t="b">
        <v>0</v>
      </c>
      <c r="H263" s="80" t="b">
        <v>0</v>
      </c>
      <c r="I263" s="80" t="b">
        <v>0</v>
      </c>
      <c r="J263" s="80" t="b">
        <v>0</v>
      </c>
      <c r="K263" s="80" t="b">
        <v>0</v>
      </c>
      <c r="L263" s="80" t="b">
        <v>0</v>
      </c>
    </row>
    <row r="264" spans="1:12" ht="15">
      <c r="A264" s="81" t="s">
        <v>2336</v>
      </c>
      <c r="B264" s="80" t="s">
        <v>2290</v>
      </c>
      <c r="C264" s="80">
        <v>3</v>
      </c>
      <c r="D264" s="104">
        <v>0.0005394802789677083</v>
      </c>
      <c r="E264" s="104">
        <v>2.1773528270652496</v>
      </c>
      <c r="F264" s="80" t="s">
        <v>3370</v>
      </c>
      <c r="G264" s="80" t="b">
        <v>1</v>
      </c>
      <c r="H264" s="80" t="b">
        <v>0</v>
      </c>
      <c r="I264" s="80" t="b">
        <v>0</v>
      </c>
      <c r="J264" s="80" t="b">
        <v>0</v>
      </c>
      <c r="K264" s="80" t="b">
        <v>0</v>
      </c>
      <c r="L264" s="80" t="b">
        <v>0</v>
      </c>
    </row>
    <row r="265" spans="1:12" ht="15">
      <c r="A265" s="81" t="s">
        <v>2245</v>
      </c>
      <c r="B265" s="80" t="s">
        <v>2238</v>
      </c>
      <c r="C265" s="80">
        <v>3</v>
      </c>
      <c r="D265" s="104">
        <v>0.0005394802789677083</v>
      </c>
      <c r="E265" s="104">
        <v>1.4885017294740652</v>
      </c>
      <c r="F265" s="80" t="s">
        <v>3370</v>
      </c>
      <c r="G265" s="80" t="b">
        <v>0</v>
      </c>
      <c r="H265" s="80" t="b">
        <v>0</v>
      </c>
      <c r="I265" s="80" t="b">
        <v>0</v>
      </c>
      <c r="J265" s="80" t="b">
        <v>0</v>
      </c>
      <c r="K265" s="80" t="b">
        <v>0</v>
      </c>
      <c r="L265" s="80" t="b">
        <v>0</v>
      </c>
    </row>
    <row r="266" spans="1:12" ht="15">
      <c r="A266" s="81" t="s">
        <v>2390</v>
      </c>
      <c r="B266" s="80" t="s">
        <v>2220</v>
      </c>
      <c r="C266" s="80">
        <v>3</v>
      </c>
      <c r="D266" s="104">
        <v>0.0007104914813761894</v>
      </c>
      <c r="E266" s="104">
        <v>1.7435587572810118</v>
      </c>
      <c r="F266" s="80" t="s">
        <v>3370</v>
      </c>
      <c r="G266" s="80" t="b">
        <v>0</v>
      </c>
      <c r="H266" s="80" t="b">
        <v>0</v>
      </c>
      <c r="I266" s="80" t="b">
        <v>0</v>
      </c>
      <c r="J266" s="80" t="b">
        <v>0</v>
      </c>
      <c r="K266" s="80" t="b">
        <v>0</v>
      </c>
      <c r="L266" s="80" t="b">
        <v>0</v>
      </c>
    </row>
    <row r="267" spans="1:12" ht="15">
      <c r="A267" s="81" t="s">
        <v>2538</v>
      </c>
      <c r="B267" s="80" t="s">
        <v>2711</v>
      </c>
      <c r="C267" s="80">
        <v>3</v>
      </c>
      <c r="D267" s="104">
        <v>0.0005394802789677083</v>
      </c>
      <c r="E267" s="104">
        <v>3.2187455122234745</v>
      </c>
      <c r="F267" s="80" t="s">
        <v>3370</v>
      </c>
      <c r="G267" s="80" t="b">
        <v>0</v>
      </c>
      <c r="H267" s="80" t="b">
        <v>0</v>
      </c>
      <c r="I267" s="80" t="b">
        <v>0</v>
      </c>
      <c r="J267" s="80" t="b">
        <v>0</v>
      </c>
      <c r="K267" s="80" t="b">
        <v>0</v>
      </c>
      <c r="L267" s="80" t="b">
        <v>0</v>
      </c>
    </row>
    <row r="268" spans="1:12" ht="15">
      <c r="A268" s="81" t="s">
        <v>2852</v>
      </c>
      <c r="B268" s="80" t="s">
        <v>2217</v>
      </c>
      <c r="C268" s="80">
        <v>3</v>
      </c>
      <c r="D268" s="104">
        <v>0.0005394802789677083</v>
      </c>
      <c r="E268" s="104">
        <v>2.085206603853257</v>
      </c>
      <c r="F268" s="80" t="s">
        <v>3370</v>
      </c>
      <c r="G268" s="80" t="b">
        <v>0</v>
      </c>
      <c r="H268" s="80" t="b">
        <v>0</v>
      </c>
      <c r="I268" s="80" t="b">
        <v>0</v>
      </c>
      <c r="J268" s="80" t="b">
        <v>0</v>
      </c>
      <c r="K268" s="80" t="b">
        <v>0</v>
      </c>
      <c r="L268" s="80" t="b">
        <v>0</v>
      </c>
    </row>
    <row r="269" spans="1:12" ht="15">
      <c r="A269" s="81" t="s">
        <v>2783</v>
      </c>
      <c r="B269" s="80" t="s">
        <v>2817</v>
      </c>
      <c r="C269" s="80">
        <v>3</v>
      </c>
      <c r="D269" s="104">
        <v>0.0005394802789677083</v>
      </c>
      <c r="E269" s="104">
        <v>3.440594261839831</v>
      </c>
      <c r="F269" s="80" t="s">
        <v>3370</v>
      </c>
      <c r="G269" s="80" t="b">
        <v>0</v>
      </c>
      <c r="H269" s="80" t="b">
        <v>0</v>
      </c>
      <c r="I269" s="80" t="b">
        <v>0</v>
      </c>
      <c r="J269" s="80" t="b">
        <v>0</v>
      </c>
      <c r="K269" s="80" t="b">
        <v>0</v>
      </c>
      <c r="L269" s="80" t="b">
        <v>0</v>
      </c>
    </row>
    <row r="270" spans="1:12" ht="15">
      <c r="A270" s="81" t="s">
        <v>2245</v>
      </c>
      <c r="B270" s="80" t="s">
        <v>2657</v>
      </c>
      <c r="C270" s="80">
        <v>3</v>
      </c>
      <c r="D270" s="104">
        <v>0.0005394802789677083</v>
      </c>
      <c r="E270" s="104">
        <v>2.3778034319803756</v>
      </c>
      <c r="F270" s="80" t="s">
        <v>3370</v>
      </c>
      <c r="G270" s="80" t="b">
        <v>0</v>
      </c>
      <c r="H270" s="80" t="b">
        <v>0</v>
      </c>
      <c r="I270" s="80" t="b">
        <v>0</v>
      </c>
      <c r="J270" s="80" t="b">
        <v>0</v>
      </c>
      <c r="K270" s="80" t="b">
        <v>0</v>
      </c>
      <c r="L270" s="80" t="b">
        <v>0</v>
      </c>
    </row>
    <row r="271" spans="1:12" ht="15">
      <c r="A271" s="81" t="s">
        <v>2251</v>
      </c>
      <c r="B271" s="80" t="s">
        <v>2349</v>
      </c>
      <c r="C271" s="80">
        <v>3</v>
      </c>
      <c r="D271" s="104">
        <v>0.0006025954255826477</v>
      </c>
      <c r="E271" s="104">
        <v>2.0524140904569497</v>
      </c>
      <c r="F271" s="80" t="s">
        <v>3370</v>
      </c>
      <c r="G271" s="80" t="b">
        <v>0</v>
      </c>
      <c r="H271" s="80" t="b">
        <v>0</v>
      </c>
      <c r="I271" s="80" t="b">
        <v>0</v>
      </c>
      <c r="J271" s="80" t="b">
        <v>0</v>
      </c>
      <c r="K271" s="80" t="b">
        <v>0</v>
      </c>
      <c r="L271" s="80" t="b">
        <v>0</v>
      </c>
    </row>
    <row r="272" spans="1:12" ht="15">
      <c r="A272" s="81" t="s">
        <v>2817</v>
      </c>
      <c r="B272" s="80" t="s">
        <v>2445</v>
      </c>
      <c r="C272" s="80">
        <v>3</v>
      </c>
      <c r="D272" s="104">
        <v>0.0005394802789677083</v>
      </c>
      <c r="E272" s="104">
        <v>3.13956426617585</v>
      </c>
      <c r="F272" s="80" t="s">
        <v>3370</v>
      </c>
      <c r="G272" s="80" t="b">
        <v>0</v>
      </c>
      <c r="H272" s="80" t="b">
        <v>0</v>
      </c>
      <c r="I272" s="80" t="b">
        <v>0</v>
      </c>
      <c r="J272" s="80" t="b">
        <v>0</v>
      </c>
      <c r="K272" s="80" t="b">
        <v>0</v>
      </c>
      <c r="L272" s="80" t="b">
        <v>0</v>
      </c>
    </row>
    <row r="273" spans="1:12" ht="15">
      <c r="A273" s="81" t="s">
        <v>2396</v>
      </c>
      <c r="B273" s="80" t="s">
        <v>2245</v>
      </c>
      <c r="C273" s="80">
        <v>3</v>
      </c>
      <c r="D273" s="104">
        <v>0.0005394802789677083</v>
      </c>
      <c r="E273" s="104">
        <v>2.134765383294081</v>
      </c>
      <c r="F273" s="80" t="s">
        <v>3370</v>
      </c>
      <c r="G273" s="80" t="b">
        <v>0</v>
      </c>
      <c r="H273" s="80" t="b">
        <v>0</v>
      </c>
      <c r="I273" s="80" t="b">
        <v>0</v>
      </c>
      <c r="J273" s="80" t="b">
        <v>0</v>
      </c>
      <c r="K273" s="80" t="b">
        <v>0</v>
      </c>
      <c r="L273" s="80" t="b">
        <v>0</v>
      </c>
    </row>
    <row r="274" spans="1:12" ht="15">
      <c r="A274" s="81" t="s">
        <v>2232</v>
      </c>
      <c r="B274" s="80" t="s">
        <v>2734</v>
      </c>
      <c r="C274" s="80">
        <v>3</v>
      </c>
      <c r="D274" s="104">
        <v>0.0005394802789677083</v>
      </c>
      <c r="E274" s="104">
        <v>2.3992015766816057</v>
      </c>
      <c r="F274" s="80" t="s">
        <v>3370</v>
      </c>
      <c r="G274" s="80" t="b">
        <v>0</v>
      </c>
      <c r="H274" s="80" t="b">
        <v>0</v>
      </c>
      <c r="I274" s="80" t="b">
        <v>0</v>
      </c>
      <c r="J274" s="80" t="b">
        <v>0</v>
      </c>
      <c r="K274" s="80" t="b">
        <v>0</v>
      </c>
      <c r="L274" s="80" t="b">
        <v>0</v>
      </c>
    </row>
    <row r="275" spans="1:12" ht="15">
      <c r="A275" s="81" t="s">
        <v>2214</v>
      </c>
      <c r="B275" s="80" t="s">
        <v>2213</v>
      </c>
      <c r="C275" s="80">
        <v>3</v>
      </c>
      <c r="D275" s="104">
        <v>0.0005394802789677083</v>
      </c>
      <c r="E275" s="104">
        <v>0.2810270686062107</v>
      </c>
      <c r="F275" s="80" t="s">
        <v>3370</v>
      </c>
      <c r="G275" s="80" t="b">
        <v>0</v>
      </c>
      <c r="H275" s="80" t="b">
        <v>0</v>
      </c>
      <c r="I275" s="80" t="b">
        <v>0</v>
      </c>
      <c r="J275" s="80" t="b">
        <v>0</v>
      </c>
      <c r="K275" s="80" t="b">
        <v>0</v>
      </c>
      <c r="L275" s="80" t="b">
        <v>0</v>
      </c>
    </row>
    <row r="276" spans="1:12" ht="15">
      <c r="A276" s="81" t="s">
        <v>2245</v>
      </c>
      <c r="B276" s="80" t="s">
        <v>2317</v>
      </c>
      <c r="C276" s="80">
        <v>3</v>
      </c>
      <c r="D276" s="104">
        <v>0.0005394802789677083</v>
      </c>
      <c r="E276" s="104">
        <v>1.8659200710015011</v>
      </c>
      <c r="F276" s="80" t="s">
        <v>3370</v>
      </c>
      <c r="G276" s="80" t="b">
        <v>0</v>
      </c>
      <c r="H276" s="80" t="b">
        <v>0</v>
      </c>
      <c r="I276" s="80" t="b">
        <v>0</v>
      </c>
      <c r="J276" s="80" t="b">
        <v>0</v>
      </c>
      <c r="K276" s="80" t="b">
        <v>0</v>
      </c>
      <c r="L276" s="80" t="b">
        <v>0</v>
      </c>
    </row>
    <row r="277" spans="1:12" ht="15">
      <c r="A277" s="81" t="s">
        <v>2357</v>
      </c>
      <c r="B277" s="80" t="s">
        <v>2325</v>
      </c>
      <c r="C277" s="80">
        <v>3</v>
      </c>
      <c r="D277" s="104">
        <v>0.0005394802789677083</v>
      </c>
      <c r="E277" s="104">
        <v>2.361413015792206</v>
      </c>
      <c r="F277" s="80" t="s">
        <v>3370</v>
      </c>
      <c r="G277" s="80" t="b">
        <v>0</v>
      </c>
      <c r="H277" s="80" t="b">
        <v>0</v>
      </c>
      <c r="I277" s="80" t="b">
        <v>0</v>
      </c>
      <c r="J277" s="80" t="b">
        <v>0</v>
      </c>
      <c r="K277" s="80" t="b">
        <v>0</v>
      </c>
      <c r="L277" s="80" t="b">
        <v>0</v>
      </c>
    </row>
    <row r="278" spans="1:12" ht="15">
      <c r="A278" s="81" t="s">
        <v>2814</v>
      </c>
      <c r="B278" s="80" t="s">
        <v>2847</v>
      </c>
      <c r="C278" s="80">
        <v>3</v>
      </c>
      <c r="D278" s="104">
        <v>0.0005394802789677083</v>
      </c>
      <c r="E278" s="104">
        <v>3.440594261839831</v>
      </c>
      <c r="F278" s="80" t="s">
        <v>3370</v>
      </c>
      <c r="G278" s="80" t="b">
        <v>0</v>
      </c>
      <c r="H278" s="80" t="b">
        <v>0</v>
      </c>
      <c r="I278" s="80" t="b">
        <v>0</v>
      </c>
      <c r="J278" s="80" t="b">
        <v>0</v>
      </c>
      <c r="K278" s="80" t="b">
        <v>0</v>
      </c>
      <c r="L278" s="80" t="b">
        <v>0</v>
      </c>
    </row>
    <row r="279" spans="1:12" ht="15">
      <c r="A279" s="81" t="s">
        <v>2874</v>
      </c>
      <c r="B279" s="80" t="s">
        <v>2860</v>
      </c>
      <c r="C279" s="80">
        <v>3</v>
      </c>
      <c r="D279" s="104">
        <v>0.0005394802789677083</v>
      </c>
      <c r="E279" s="104">
        <v>3.440594261839831</v>
      </c>
      <c r="F279" s="80" t="s">
        <v>3370</v>
      </c>
      <c r="G279" s="80" t="b">
        <v>0</v>
      </c>
      <c r="H279" s="80" t="b">
        <v>0</v>
      </c>
      <c r="I279" s="80" t="b">
        <v>0</v>
      </c>
      <c r="J279" s="80" t="b">
        <v>0</v>
      </c>
      <c r="K279" s="80" t="b">
        <v>0</v>
      </c>
      <c r="L279" s="80" t="b">
        <v>0</v>
      </c>
    </row>
    <row r="280" spans="1:12" ht="15">
      <c r="A280" s="81" t="s">
        <v>2445</v>
      </c>
      <c r="B280" s="80" t="s">
        <v>2245</v>
      </c>
      <c r="C280" s="80">
        <v>3</v>
      </c>
      <c r="D280" s="104">
        <v>0.0005394802789677083</v>
      </c>
      <c r="E280" s="104">
        <v>2.2017121729246942</v>
      </c>
      <c r="F280" s="80" t="s">
        <v>3370</v>
      </c>
      <c r="G280" s="80" t="b">
        <v>0</v>
      </c>
      <c r="H280" s="80" t="b">
        <v>0</v>
      </c>
      <c r="I280" s="80" t="b">
        <v>0</v>
      </c>
      <c r="J280" s="80" t="b">
        <v>0</v>
      </c>
      <c r="K280" s="80" t="b">
        <v>0</v>
      </c>
      <c r="L280" s="80" t="b">
        <v>0</v>
      </c>
    </row>
    <row r="281" spans="1:12" ht="15">
      <c r="A281" s="81" t="s">
        <v>2325</v>
      </c>
      <c r="B281" s="80" t="s">
        <v>2731</v>
      </c>
      <c r="C281" s="80">
        <v>3</v>
      </c>
      <c r="D281" s="104">
        <v>0.0005394802789677083</v>
      </c>
      <c r="E281" s="104">
        <v>2.8385342705118686</v>
      </c>
      <c r="F281" s="80" t="s">
        <v>3370</v>
      </c>
      <c r="G281" s="80" t="b">
        <v>0</v>
      </c>
      <c r="H281" s="80" t="b">
        <v>0</v>
      </c>
      <c r="I281" s="80" t="b">
        <v>0</v>
      </c>
      <c r="J281" s="80" t="b">
        <v>0</v>
      </c>
      <c r="K281" s="80" t="b">
        <v>0</v>
      </c>
      <c r="L281" s="80" t="b">
        <v>0</v>
      </c>
    </row>
    <row r="282" spans="1:12" ht="15">
      <c r="A282" s="81" t="s">
        <v>2265</v>
      </c>
      <c r="B282" s="80" t="s">
        <v>2239</v>
      </c>
      <c r="C282" s="80">
        <v>3</v>
      </c>
      <c r="D282" s="104">
        <v>0.0007104914813761894</v>
      </c>
      <c r="E282" s="104">
        <v>1.6771662682768937</v>
      </c>
      <c r="F282" s="80" t="s">
        <v>3370</v>
      </c>
      <c r="G282" s="80" t="b">
        <v>0</v>
      </c>
      <c r="H282" s="80" t="b">
        <v>0</v>
      </c>
      <c r="I282" s="80" t="b">
        <v>0</v>
      </c>
      <c r="J282" s="80" t="b">
        <v>0</v>
      </c>
      <c r="K282" s="80" t="b">
        <v>0</v>
      </c>
      <c r="L282" s="80" t="b">
        <v>0</v>
      </c>
    </row>
    <row r="283" spans="1:12" ht="15">
      <c r="A283" s="81" t="s">
        <v>2303</v>
      </c>
      <c r="B283" s="80" t="s">
        <v>2524</v>
      </c>
      <c r="C283" s="80">
        <v>3</v>
      </c>
      <c r="D283" s="104">
        <v>0.0005394802789677083</v>
      </c>
      <c r="E283" s="104">
        <v>2.549738731264899</v>
      </c>
      <c r="F283" s="80" t="s">
        <v>3370</v>
      </c>
      <c r="G283" s="80" t="b">
        <v>0</v>
      </c>
      <c r="H283" s="80" t="b">
        <v>0</v>
      </c>
      <c r="I283" s="80" t="b">
        <v>0</v>
      </c>
      <c r="J283" s="80" t="b">
        <v>0</v>
      </c>
      <c r="K283" s="80" t="b">
        <v>0</v>
      </c>
      <c r="L283" s="80" t="b">
        <v>0</v>
      </c>
    </row>
    <row r="284" spans="1:12" ht="15">
      <c r="A284" s="81" t="s">
        <v>2868</v>
      </c>
      <c r="B284" s="80" t="s">
        <v>2852</v>
      </c>
      <c r="C284" s="80">
        <v>3</v>
      </c>
      <c r="D284" s="104">
        <v>0.0005394802789677083</v>
      </c>
      <c r="E284" s="104">
        <v>3.440594261839831</v>
      </c>
      <c r="F284" s="80" t="s">
        <v>3370</v>
      </c>
      <c r="G284" s="80" t="b">
        <v>0</v>
      </c>
      <c r="H284" s="80" t="b">
        <v>0</v>
      </c>
      <c r="I284" s="80" t="b">
        <v>0</v>
      </c>
      <c r="J284" s="80" t="b">
        <v>0</v>
      </c>
      <c r="K284" s="80" t="b">
        <v>0</v>
      </c>
      <c r="L284" s="80" t="b">
        <v>0</v>
      </c>
    </row>
    <row r="285" spans="1:12" ht="15">
      <c r="A285" s="81" t="s">
        <v>2743</v>
      </c>
      <c r="B285" s="80" t="s">
        <v>2265</v>
      </c>
      <c r="C285" s="80">
        <v>3</v>
      </c>
      <c r="D285" s="104">
        <v>0.0007104914813761894</v>
      </c>
      <c r="E285" s="104">
        <v>2.6624430114561872</v>
      </c>
      <c r="F285" s="80" t="s">
        <v>3370</v>
      </c>
      <c r="G285" s="80" t="b">
        <v>0</v>
      </c>
      <c r="H285" s="80" t="b">
        <v>0</v>
      </c>
      <c r="I285" s="80" t="b">
        <v>0</v>
      </c>
      <c r="J285" s="80" t="b">
        <v>0</v>
      </c>
      <c r="K285" s="80" t="b">
        <v>0</v>
      </c>
      <c r="L285" s="80" t="b">
        <v>0</v>
      </c>
    </row>
    <row r="286" spans="1:12" ht="15">
      <c r="A286" s="81" t="s">
        <v>2314</v>
      </c>
      <c r="B286" s="80" t="s">
        <v>2317</v>
      </c>
      <c r="C286" s="80">
        <v>3</v>
      </c>
      <c r="D286" s="104">
        <v>0.0005394802789677083</v>
      </c>
      <c r="E286" s="104">
        <v>2.1669500666654824</v>
      </c>
      <c r="F286" s="80" t="s">
        <v>3370</v>
      </c>
      <c r="G286" s="80" t="b">
        <v>0</v>
      </c>
      <c r="H286" s="80" t="b">
        <v>0</v>
      </c>
      <c r="I286" s="80" t="b">
        <v>0</v>
      </c>
      <c r="J286" s="80" t="b">
        <v>0</v>
      </c>
      <c r="K286" s="80" t="b">
        <v>0</v>
      </c>
      <c r="L286" s="80" t="b">
        <v>0</v>
      </c>
    </row>
    <row r="287" spans="1:12" ht="15">
      <c r="A287" s="81" t="s">
        <v>2216</v>
      </c>
      <c r="B287" s="80" t="s">
        <v>2246</v>
      </c>
      <c r="C287" s="80">
        <v>3</v>
      </c>
      <c r="D287" s="104">
        <v>0.0005394802789677083</v>
      </c>
      <c r="E287" s="104">
        <v>1.0830829102234016</v>
      </c>
      <c r="F287" s="80" t="s">
        <v>3370</v>
      </c>
      <c r="G287" s="80" t="b">
        <v>0</v>
      </c>
      <c r="H287" s="80" t="b">
        <v>0</v>
      </c>
      <c r="I287" s="80" t="b">
        <v>0</v>
      </c>
      <c r="J287" s="80" t="b">
        <v>0</v>
      </c>
      <c r="K287" s="80" t="b">
        <v>0</v>
      </c>
      <c r="L287" s="80" t="b">
        <v>0</v>
      </c>
    </row>
    <row r="288" spans="1:12" ht="15">
      <c r="A288" s="81" t="s">
        <v>2739</v>
      </c>
      <c r="B288" s="80" t="s">
        <v>2229</v>
      </c>
      <c r="C288" s="80">
        <v>3</v>
      </c>
      <c r="D288" s="104">
        <v>0.0007104914813761894</v>
      </c>
      <c r="E288" s="104">
        <v>2.304931659839758</v>
      </c>
      <c r="F288" s="80" t="s">
        <v>3370</v>
      </c>
      <c r="G288" s="80" t="b">
        <v>0</v>
      </c>
      <c r="H288" s="80" t="b">
        <v>0</v>
      </c>
      <c r="I288" s="80" t="b">
        <v>0</v>
      </c>
      <c r="J288" s="80" t="b">
        <v>0</v>
      </c>
      <c r="K288" s="80" t="b">
        <v>0</v>
      </c>
      <c r="L288" s="80" t="b">
        <v>0</v>
      </c>
    </row>
    <row r="289" spans="1:12" ht="15">
      <c r="A289" s="81" t="s">
        <v>2242</v>
      </c>
      <c r="B289" s="80" t="s">
        <v>2281</v>
      </c>
      <c r="C289" s="80">
        <v>3</v>
      </c>
      <c r="D289" s="104">
        <v>0.0005394802789677083</v>
      </c>
      <c r="E289" s="104">
        <v>1.7715874808812553</v>
      </c>
      <c r="F289" s="80" t="s">
        <v>3370</v>
      </c>
      <c r="G289" s="80" t="b">
        <v>0</v>
      </c>
      <c r="H289" s="80" t="b">
        <v>0</v>
      </c>
      <c r="I289" s="80" t="b">
        <v>0</v>
      </c>
      <c r="J289" s="80" t="b">
        <v>0</v>
      </c>
      <c r="K289" s="80" t="b">
        <v>0</v>
      </c>
      <c r="L289" s="80" t="b">
        <v>0</v>
      </c>
    </row>
    <row r="290" spans="1:12" ht="15">
      <c r="A290" s="81" t="s">
        <v>2221</v>
      </c>
      <c r="B290" s="80" t="s">
        <v>2470</v>
      </c>
      <c r="C290" s="80">
        <v>3</v>
      </c>
      <c r="D290" s="104">
        <v>0.0005394802789677083</v>
      </c>
      <c r="E290" s="104">
        <v>1.8924096512947233</v>
      </c>
      <c r="F290" s="80" t="s">
        <v>3370</v>
      </c>
      <c r="G290" s="80" t="b">
        <v>0</v>
      </c>
      <c r="H290" s="80" t="b">
        <v>0</v>
      </c>
      <c r="I290" s="80" t="b">
        <v>0</v>
      </c>
      <c r="J290" s="80" t="b">
        <v>0</v>
      </c>
      <c r="K290" s="80" t="b">
        <v>0</v>
      </c>
      <c r="L290" s="80" t="b">
        <v>0</v>
      </c>
    </row>
    <row r="291" spans="1:12" ht="15">
      <c r="A291" s="81" t="s">
        <v>2643</v>
      </c>
      <c r="B291" s="80" t="s">
        <v>2262</v>
      </c>
      <c r="C291" s="80">
        <v>3</v>
      </c>
      <c r="D291" s="104">
        <v>0.0007104914813761894</v>
      </c>
      <c r="E291" s="104">
        <v>2.5140231789983645</v>
      </c>
      <c r="F291" s="80" t="s">
        <v>3370</v>
      </c>
      <c r="G291" s="80" t="b">
        <v>0</v>
      </c>
      <c r="H291" s="80" t="b">
        <v>0</v>
      </c>
      <c r="I291" s="80" t="b">
        <v>0</v>
      </c>
      <c r="J291" s="80" t="b">
        <v>0</v>
      </c>
      <c r="K291" s="80" t="b">
        <v>0</v>
      </c>
      <c r="L291" s="80" t="b">
        <v>0</v>
      </c>
    </row>
    <row r="292" spans="1:12" ht="15">
      <c r="A292" s="81" t="s">
        <v>2254</v>
      </c>
      <c r="B292" s="80" t="s">
        <v>2252</v>
      </c>
      <c r="C292" s="80">
        <v>3</v>
      </c>
      <c r="D292" s="104">
        <v>0.0005394802789677083</v>
      </c>
      <c r="E292" s="104">
        <v>1.7099914096347433</v>
      </c>
      <c r="F292" s="80" t="s">
        <v>3370</v>
      </c>
      <c r="G292" s="80" t="b">
        <v>0</v>
      </c>
      <c r="H292" s="80" t="b">
        <v>0</v>
      </c>
      <c r="I292" s="80" t="b">
        <v>0</v>
      </c>
      <c r="J292" s="80" t="b">
        <v>0</v>
      </c>
      <c r="K292" s="80" t="b">
        <v>0</v>
      </c>
      <c r="L292" s="80" t="b">
        <v>0</v>
      </c>
    </row>
    <row r="293" spans="1:12" ht="15">
      <c r="A293" s="81" t="s">
        <v>2274</v>
      </c>
      <c r="B293" s="80" t="s">
        <v>2369</v>
      </c>
      <c r="C293" s="80">
        <v>3</v>
      </c>
      <c r="D293" s="104">
        <v>0.0005394802789677083</v>
      </c>
      <c r="E293" s="104">
        <v>2.236474279183906</v>
      </c>
      <c r="F293" s="80" t="s">
        <v>3370</v>
      </c>
      <c r="G293" s="80" t="b">
        <v>0</v>
      </c>
      <c r="H293" s="80" t="b">
        <v>0</v>
      </c>
      <c r="I293" s="80" t="b">
        <v>0</v>
      </c>
      <c r="J293" s="80" t="b">
        <v>0</v>
      </c>
      <c r="K293" s="80" t="b">
        <v>0</v>
      </c>
      <c r="L293" s="80" t="b">
        <v>0</v>
      </c>
    </row>
    <row r="294" spans="1:12" ht="15">
      <c r="A294" s="81" t="s">
        <v>2353</v>
      </c>
      <c r="B294" s="80" t="s">
        <v>2343</v>
      </c>
      <c r="C294" s="80">
        <v>3</v>
      </c>
      <c r="D294" s="104">
        <v>0.0005394802789677083</v>
      </c>
      <c r="E294" s="104">
        <v>2.440594261839831</v>
      </c>
      <c r="F294" s="80" t="s">
        <v>3370</v>
      </c>
      <c r="G294" s="80" t="b">
        <v>0</v>
      </c>
      <c r="H294" s="80" t="b">
        <v>0</v>
      </c>
      <c r="I294" s="80" t="b">
        <v>0</v>
      </c>
      <c r="J294" s="80" t="b">
        <v>0</v>
      </c>
      <c r="K294" s="80" t="b">
        <v>0</v>
      </c>
      <c r="L294" s="80" t="b">
        <v>0</v>
      </c>
    </row>
    <row r="295" spans="1:12" ht="15">
      <c r="A295" s="81" t="s">
        <v>2433</v>
      </c>
      <c r="B295" s="80" t="s">
        <v>2225</v>
      </c>
      <c r="C295" s="80">
        <v>3</v>
      </c>
      <c r="D295" s="104">
        <v>0.0005394802789677083</v>
      </c>
      <c r="E295" s="104">
        <v>1.9354442835199248</v>
      </c>
      <c r="F295" s="80" t="s">
        <v>3370</v>
      </c>
      <c r="G295" s="80" t="b">
        <v>0</v>
      </c>
      <c r="H295" s="80" t="b">
        <v>0</v>
      </c>
      <c r="I295" s="80" t="b">
        <v>0</v>
      </c>
      <c r="J295" s="80" t="b">
        <v>0</v>
      </c>
      <c r="K295" s="80" t="b">
        <v>0</v>
      </c>
      <c r="L295" s="80" t="b">
        <v>0</v>
      </c>
    </row>
    <row r="296" spans="1:12" ht="15">
      <c r="A296" s="81" t="s">
        <v>2524</v>
      </c>
      <c r="B296" s="80" t="s">
        <v>2270</v>
      </c>
      <c r="C296" s="80">
        <v>3</v>
      </c>
      <c r="D296" s="104">
        <v>0.0005394802789677083</v>
      </c>
      <c r="E296" s="104">
        <v>2.465417845564863</v>
      </c>
      <c r="F296" s="80" t="s">
        <v>3370</v>
      </c>
      <c r="G296" s="80" t="b">
        <v>0</v>
      </c>
      <c r="H296" s="80" t="b">
        <v>0</v>
      </c>
      <c r="I296" s="80" t="b">
        <v>0</v>
      </c>
      <c r="J296" s="80" t="b">
        <v>0</v>
      </c>
      <c r="K296" s="80" t="b">
        <v>0</v>
      </c>
      <c r="L296" s="80" t="b">
        <v>0</v>
      </c>
    </row>
    <row r="297" spans="1:12" ht="15">
      <c r="A297" s="81" t="s">
        <v>2680</v>
      </c>
      <c r="B297" s="80" t="s">
        <v>2216</v>
      </c>
      <c r="C297" s="80">
        <v>3</v>
      </c>
      <c r="D297" s="104">
        <v>0.0006025954255826477</v>
      </c>
      <c r="E297" s="104">
        <v>1.8789629275674768</v>
      </c>
      <c r="F297" s="80" t="s">
        <v>3370</v>
      </c>
      <c r="G297" s="80" t="b">
        <v>0</v>
      </c>
      <c r="H297" s="80" t="b">
        <v>0</v>
      </c>
      <c r="I297" s="80" t="b">
        <v>0</v>
      </c>
      <c r="J297" s="80" t="b">
        <v>0</v>
      </c>
      <c r="K297" s="80" t="b">
        <v>0</v>
      </c>
      <c r="L297" s="80" t="b">
        <v>0</v>
      </c>
    </row>
    <row r="298" spans="1:12" ht="15">
      <c r="A298" s="81" t="s">
        <v>2356</v>
      </c>
      <c r="B298" s="80" t="s">
        <v>2506</v>
      </c>
      <c r="C298" s="80">
        <v>3</v>
      </c>
      <c r="D298" s="104">
        <v>0.0005394802789677083</v>
      </c>
      <c r="E298" s="104">
        <v>2.7416242575038123</v>
      </c>
      <c r="F298" s="80" t="s">
        <v>3370</v>
      </c>
      <c r="G298" s="80" t="b">
        <v>0</v>
      </c>
      <c r="H298" s="80" t="b">
        <v>0</v>
      </c>
      <c r="I298" s="80" t="b">
        <v>0</v>
      </c>
      <c r="J298" s="80" t="b">
        <v>0</v>
      </c>
      <c r="K298" s="80" t="b">
        <v>0</v>
      </c>
      <c r="L298" s="80" t="b">
        <v>0</v>
      </c>
    </row>
    <row r="299" spans="1:12" ht="15">
      <c r="A299" s="81" t="s">
        <v>2242</v>
      </c>
      <c r="B299" s="80" t="s">
        <v>2544</v>
      </c>
      <c r="C299" s="80">
        <v>3</v>
      </c>
      <c r="D299" s="104">
        <v>0.0005394802789677083</v>
      </c>
      <c r="E299" s="104">
        <v>2.248708735600918</v>
      </c>
      <c r="F299" s="80" t="s">
        <v>3370</v>
      </c>
      <c r="G299" s="80" t="b">
        <v>0</v>
      </c>
      <c r="H299" s="80" t="b">
        <v>0</v>
      </c>
      <c r="I299" s="80" t="b">
        <v>0</v>
      </c>
      <c r="J299" s="80" t="b">
        <v>0</v>
      </c>
      <c r="K299" s="80" t="b">
        <v>1</v>
      </c>
      <c r="L299" s="80" t="b">
        <v>0</v>
      </c>
    </row>
    <row r="300" spans="1:12" ht="15">
      <c r="A300" s="81" t="s">
        <v>2339</v>
      </c>
      <c r="B300" s="80" t="s">
        <v>2277</v>
      </c>
      <c r="C300" s="80">
        <v>3</v>
      </c>
      <c r="D300" s="104">
        <v>0.0007104914813761894</v>
      </c>
      <c r="E300" s="104">
        <v>2.149324103465006</v>
      </c>
      <c r="F300" s="80" t="s">
        <v>3370</v>
      </c>
      <c r="G300" s="80" t="b">
        <v>0</v>
      </c>
      <c r="H300" s="80" t="b">
        <v>0</v>
      </c>
      <c r="I300" s="80" t="b">
        <v>0</v>
      </c>
      <c r="J300" s="80" t="b">
        <v>0</v>
      </c>
      <c r="K300" s="80" t="b">
        <v>0</v>
      </c>
      <c r="L300" s="80" t="b">
        <v>0</v>
      </c>
    </row>
    <row r="301" spans="1:12" ht="15">
      <c r="A301" s="81" t="s">
        <v>2249</v>
      </c>
      <c r="B301" s="80" t="s">
        <v>2837</v>
      </c>
      <c r="C301" s="80">
        <v>3</v>
      </c>
      <c r="D301" s="104">
        <v>0.0005394802789677083</v>
      </c>
      <c r="E301" s="104">
        <v>2.5559876805419006</v>
      </c>
      <c r="F301" s="80" t="s">
        <v>3370</v>
      </c>
      <c r="G301" s="80" t="b">
        <v>0</v>
      </c>
      <c r="H301" s="80" t="b">
        <v>0</v>
      </c>
      <c r="I301" s="80" t="b">
        <v>0</v>
      </c>
      <c r="J301" s="80" t="b">
        <v>0</v>
      </c>
      <c r="K301" s="80" t="b">
        <v>0</v>
      </c>
      <c r="L301" s="80" t="b">
        <v>0</v>
      </c>
    </row>
    <row r="302" spans="1:12" ht="15">
      <c r="A302" s="81" t="s">
        <v>2837</v>
      </c>
      <c r="B302" s="80" t="s">
        <v>2538</v>
      </c>
      <c r="C302" s="80">
        <v>3</v>
      </c>
      <c r="D302" s="104">
        <v>0.0005394802789677083</v>
      </c>
      <c r="E302" s="104">
        <v>3.2187455122234745</v>
      </c>
      <c r="F302" s="80" t="s">
        <v>3370</v>
      </c>
      <c r="G302" s="80" t="b">
        <v>0</v>
      </c>
      <c r="H302" s="80" t="b">
        <v>0</v>
      </c>
      <c r="I302" s="80" t="b">
        <v>0</v>
      </c>
      <c r="J302" s="80" t="b">
        <v>0</v>
      </c>
      <c r="K302" s="80" t="b">
        <v>0</v>
      </c>
      <c r="L302" s="80" t="b">
        <v>0</v>
      </c>
    </row>
    <row r="303" spans="1:12" ht="15">
      <c r="A303" s="81" t="s">
        <v>2244</v>
      </c>
      <c r="B303" s="80" t="s">
        <v>2227</v>
      </c>
      <c r="C303" s="80">
        <v>3</v>
      </c>
      <c r="D303" s="104">
        <v>0.0007104914813761894</v>
      </c>
      <c r="E303" s="104">
        <v>1.3042260634507492</v>
      </c>
      <c r="F303" s="80" t="s">
        <v>3370</v>
      </c>
      <c r="G303" s="80" t="b">
        <v>0</v>
      </c>
      <c r="H303" s="80" t="b">
        <v>0</v>
      </c>
      <c r="I303" s="80" t="b">
        <v>0</v>
      </c>
      <c r="J303" s="80" t="b">
        <v>0</v>
      </c>
      <c r="K303" s="80" t="b">
        <v>0</v>
      </c>
      <c r="L303" s="80" t="b">
        <v>0</v>
      </c>
    </row>
    <row r="304" spans="1:12" ht="15">
      <c r="A304" s="81" t="s">
        <v>2482</v>
      </c>
      <c r="B304" s="80" t="s">
        <v>2364</v>
      </c>
      <c r="C304" s="80">
        <v>3</v>
      </c>
      <c r="D304" s="104">
        <v>0.0005394802789677083</v>
      </c>
      <c r="E304" s="104">
        <v>2.6624430114561872</v>
      </c>
      <c r="F304" s="80" t="s">
        <v>3370</v>
      </c>
      <c r="G304" s="80" t="b">
        <v>0</v>
      </c>
      <c r="H304" s="80" t="b">
        <v>0</v>
      </c>
      <c r="I304" s="80" t="b">
        <v>0</v>
      </c>
      <c r="J304" s="80" t="b">
        <v>0</v>
      </c>
      <c r="K304" s="80" t="b">
        <v>0</v>
      </c>
      <c r="L304" s="80" t="b">
        <v>0</v>
      </c>
    </row>
    <row r="305" spans="1:12" ht="15">
      <c r="A305" s="81" t="s">
        <v>2217</v>
      </c>
      <c r="B305" s="80" t="s">
        <v>2447</v>
      </c>
      <c r="C305" s="80">
        <v>3</v>
      </c>
      <c r="D305" s="104">
        <v>0.0005394802789677083</v>
      </c>
      <c r="E305" s="104">
        <v>1.8037721642526565</v>
      </c>
      <c r="F305" s="80" t="s">
        <v>3370</v>
      </c>
      <c r="G305" s="80" t="b">
        <v>0</v>
      </c>
      <c r="H305" s="80" t="b">
        <v>0</v>
      </c>
      <c r="I305" s="80" t="b">
        <v>0</v>
      </c>
      <c r="J305" s="80" t="b">
        <v>0</v>
      </c>
      <c r="K305" s="80" t="b">
        <v>0</v>
      </c>
      <c r="L305" s="80" t="b">
        <v>0</v>
      </c>
    </row>
    <row r="306" spans="1:12" ht="15">
      <c r="A306" s="81" t="s">
        <v>2311</v>
      </c>
      <c r="B306" s="80" t="s">
        <v>2250</v>
      </c>
      <c r="C306" s="80">
        <v>3</v>
      </c>
      <c r="D306" s="104">
        <v>0.0005394802789677083</v>
      </c>
      <c r="E306" s="104">
        <v>1.919165582954726</v>
      </c>
      <c r="F306" s="80" t="s">
        <v>3370</v>
      </c>
      <c r="G306" s="80" t="b">
        <v>0</v>
      </c>
      <c r="H306" s="80" t="b">
        <v>0</v>
      </c>
      <c r="I306" s="80" t="b">
        <v>0</v>
      </c>
      <c r="J306" s="80" t="b">
        <v>0</v>
      </c>
      <c r="K306" s="80" t="b">
        <v>0</v>
      </c>
      <c r="L306" s="80" t="b">
        <v>0</v>
      </c>
    </row>
    <row r="307" spans="1:12" ht="15">
      <c r="A307" s="81" t="s">
        <v>2216</v>
      </c>
      <c r="B307" s="80" t="s">
        <v>2773</v>
      </c>
      <c r="C307" s="80">
        <v>3</v>
      </c>
      <c r="D307" s="104">
        <v>0.0005394802789677083</v>
      </c>
      <c r="E307" s="104">
        <v>2.0039016641757765</v>
      </c>
      <c r="F307" s="80" t="s">
        <v>3370</v>
      </c>
      <c r="G307" s="80" t="b">
        <v>0</v>
      </c>
      <c r="H307" s="80" t="b">
        <v>0</v>
      </c>
      <c r="I307" s="80" t="b">
        <v>0</v>
      </c>
      <c r="J307" s="80" t="b">
        <v>0</v>
      </c>
      <c r="K307" s="80" t="b">
        <v>0</v>
      </c>
      <c r="L307" s="80" t="b">
        <v>0</v>
      </c>
    </row>
    <row r="308" spans="1:12" ht="15">
      <c r="A308" s="81" t="s">
        <v>2354</v>
      </c>
      <c r="B308" s="80" t="s">
        <v>2254</v>
      </c>
      <c r="C308" s="80">
        <v>3</v>
      </c>
      <c r="D308" s="104">
        <v>0.0005394802789677083</v>
      </c>
      <c r="E308" s="104">
        <v>2.098171581017625</v>
      </c>
      <c r="F308" s="80" t="s">
        <v>3370</v>
      </c>
      <c r="G308" s="80" t="b">
        <v>0</v>
      </c>
      <c r="H308" s="80" t="b">
        <v>0</v>
      </c>
      <c r="I308" s="80" t="b">
        <v>0</v>
      </c>
      <c r="J308" s="80" t="b">
        <v>0</v>
      </c>
      <c r="K308" s="80" t="b">
        <v>0</v>
      </c>
      <c r="L308" s="80" t="b">
        <v>0</v>
      </c>
    </row>
    <row r="309" spans="1:12" ht="15">
      <c r="A309" s="81" t="s">
        <v>2304</v>
      </c>
      <c r="B309" s="80" t="s">
        <v>2727</v>
      </c>
      <c r="C309" s="80">
        <v>3</v>
      </c>
      <c r="D309" s="104">
        <v>0.0005394802789677083</v>
      </c>
      <c r="E309" s="104">
        <v>2.7715874808812555</v>
      </c>
      <c r="F309" s="80" t="s">
        <v>3370</v>
      </c>
      <c r="G309" s="80" t="b">
        <v>0</v>
      </c>
      <c r="H309" s="80" t="b">
        <v>0</v>
      </c>
      <c r="I309" s="80" t="b">
        <v>0</v>
      </c>
      <c r="J309" s="80" t="b">
        <v>0</v>
      </c>
      <c r="K309" s="80" t="b">
        <v>0</v>
      </c>
      <c r="L309" s="80" t="b">
        <v>0</v>
      </c>
    </row>
    <row r="310" spans="1:12" ht="15">
      <c r="A310" s="81" t="s">
        <v>2303</v>
      </c>
      <c r="B310" s="80" t="s">
        <v>2712</v>
      </c>
      <c r="C310" s="80">
        <v>3</v>
      </c>
      <c r="D310" s="104">
        <v>0.0005394802789677083</v>
      </c>
      <c r="E310" s="104">
        <v>2.7715874808812555</v>
      </c>
      <c r="F310" s="80" t="s">
        <v>3370</v>
      </c>
      <c r="G310" s="80" t="b">
        <v>0</v>
      </c>
      <c r="H310" s="80" t="b">
        <v>0</v>
      </c>
      <c r="I310" s="80" t="b">
        <v>0</v>
      </c>
      <c r="J310" s="80" t="b">
        <v>0</v>
      </c>
      <c r="K310" s="80" t="b">
        <v>0</v>
      </c>
      <c r="L310" s="80" t="b">
        <v>0</v>
      </c>
    </row>
    <row r="311" spans="1:12" ht="15">
      <c r="A311" s="81" t="s">
        <v>2562</v>
      </c>
      <c r="B311" s="80" t="s">
        <v>2336</v>
      </c>
      <c r="C311" s="80">
        <v>3</v>
      </c>
      <c r="D311" s="104">
        <v>0.0005394802789677083</v>
      </c>
      <c r="E311" s="104">
        <v>2.695866766943137</v>
      </c>
      <c r="F311" s="80" t="s">
        <v>3370</v>
      </c>
      <c r="G311" s="80" t="b">
        <v>0</v>
      </c>
      <c r="H311" s="80" t="b">
        <v>0</v>
      </c>
      <c r="I311" s="80" t="b">
        <v>0</v>
      </c>
      <c r="J311" s="80" t="b">
        <v>1</v>
      </c>
      <c r="K311" s="80" t="b">
        <v>0</v>
      </c>
      <c r="L311" s="80" t="b">
        <v>0</v>
      </c>
    </row>
    <row r="312" spans="1:12" ht="15">
      <c r="A312" s="81" t="s">
        <v>2470</v>
      </c>
      <c r="B312" s="80" t="s">
        <v>2314</v>
      </c>
      <c r="C312" s="80">
        <v>3</v>
      </c>
      <c r="D312" s="104">
        <v>0.0005394802789677083</v>
      </c>
      <c r="E312" s="104">
        <v>2.5027421685886755</v>
      </c>
      <c r="F312" s="80" t="s">
        <v>3370</v>
      </c>
      <c r="G312" s="80" t="b">
        <v>0</v>
      </c>
      <c r="H312" s="80" t="b">
        <v>0</v>
      </c>
      <c r="I312" s="80" t="b">
        <v>0</v>
      </c>
      <c r="J312" s="80" t="b">
        <v>0</v>
      </c>
      <c r="K312" s="80" t="b">
        <v>0</v>
      </c>
      <c r="L312" s="80" t="b">
        <v>0</v>
      </c>
    </row>
    <row r="313" spans="1:12" ht="15">
      <c r="A313" s="81" t="s">
        <v>2470</v>
      </c>
      <c r="B313" s="80" t="s">
        <v>2254</v>
      </c>
      <c r="C313" s="80">
        <v>3</v>
      </c>
      <c r="D313" s="104">
        <v>0.0005394802789677083</v>
      </c>
      <c r="E313" s="104">
        <v>2.274262840073306</v>
      </c>
      <c r="F313" s="80" t="s">
        <v>3370</v>
      </c>
      <c r="G313" s="80" t="b">
        <v>0</v>
      </c>
      <c r="H313" s="80" t="b">
        <v>0</v>
      </c>
      <c r="I313" s="80" t="b">
        <v>0</v>
      </c>
      <c r="J313" s="80" t="b">
        <v>0</v>
      </c>
      <c r="K313" s="80" t="b">
        <v>0</v>
      </c>
      <c r="L313" s="80" t="b">
        <v>0</v>
      </c>
    </row>
    <row r="314" spans="1:12" ht="15">
      <c r="A314" s="81" t="s">
        <v>2791</v>
      </c>
      <c r="B314" s="80" t="s">
        <v>2482</v>
      </c>
      <c r="C314" s="80">
        <v>3</v>
      </c>
      <c r="D314" s="104">
        <v>0.0005394802789677083</v>
      </c>
      <c r="E314" s="104">
        <v>3.13956426617585</v>
      </c>
      <c r="F314" s="80" t="s">
        <v>3370</v>
      </c>
      <c r="G314" s="80" t="b">
        <v>0</v>
      </c>
      <c r="H314" s="80" t="b">
        <v>0</v>
      </c>
      <c r="I314" s="80" t="b">
        <v>0</v>
      </c>
      <c r="J314" s="80" t="b">
        <v>0</v>
      </c>
      <c r="K314" s="80" t="b">
        <v>0</v>
      </c>
      <c r="L314" s="80" t="b">
        <v>0</v>
      </c>
    </row>
    <row r="315" spans="1:12" ht="15">
      <c r="A315" s="81" t="s">
        <v>2220</v>
      </c>
      <c r="B315" s="80" t="s">
        <v>2838</v>
      </c>
      <c r="C315" s="80">
        <v>3</v>
      </c>
      <c r="D315" s="104">
        <v>0.0007104914813761894</v>
      </c>
      <c r="E315" s="104">
        <v>2.1542875229965563</v>
      </c>
      <c r="F315" s="80" t="s">
        <v>3370</v>
      </c>
      <c r="G315" s="80" t="b">
        <v>0</v>
      </c>
      <c r="H315" s="80" t="b">
        <v>0</v>
      </c>
      <c r="I315" s="80" t="b">
        <v>0</v>
      </c>
      <c r="J315" s="80" t="b">
        <v>0</v>
      </c>
      <c r="K315" s="80" t="b">
        <v>0</v>
      </c>
      <c r="L315" s="80" t="b">
        <v>0</v>
      </c>
    </row>
    <row r="316" spans="1:12" ht="15">
      <c r="A316" s="81" t="s">
        <v>2360</v>
      </c>
      <c r="B316" s="80" t="s">
        <v>2226</v>
      </c>
      <c r="C316" s="80">
        <v>3</v>
      </c>
      <c r="D316" s="104">
        <v>0.0005394802789677083</v>
      </c>
      <c r="E316" s="104">
        <v>1.7684964039041136</v>
      </c>
      <c r="F316" s="80" t="s">
        <v>3370</v>
      </c>
      <c r="G316" s="80" t="b">
        <v>0</v>
      </c>
      <c r="H316" s="80" t="b">
        <v>0</v>
      </c>
      <c r="I316" s="80" t="b">
        <v>0</v>
      </c>
      <c r="J316" s="80" t="b">
        <v>0</v>
      </c>
      <c r="K316" s="80" t="b">
        <v>0</v>
      </c>
      <c r="L316" s="80" t="b">
        <v>0</v>
      </c>
    </row>
    <row r="317" spans="1:12" ht="15">
      <c r="A317" s="81" t="s">
        <v>2634</v>
      </c>
      <c r="B317" s="80" t="s">
        <v>2809</v>
      </c>
      <c r="C317" s="80">
        <v>3</v>
      </c>
      <c r="D317" s="104">
        <v>0.0005394802789677083</v>
      </c>
      <c r="E317" s="104">
        <v>3.315655525231531</v>
      </c>
      <c r="F317" s="80" t="s">
        <v>3370</v>
      </c>
      <c r="G317" s="80" t="b">
        <v>0</v>
      </c>
      <c r="H317" s="80" t="b">
        <v>0</v>
      </c>
      <c r="I317" s="80" t="b">
        <v>0</v>
      </c>
      <c r="J317" s="80" t="b">
        <v>0</v>
      </c>
      <c r="K317" s="80" t="b">
        <v>0</v>
      </c>
      <c r="L317" s="80" t="b">
        <v>0</v>
      </c>
    </row>
    <row r="318" spans="1:12" ht="15">
      <c r="A318" s="81" t="s">
        <v>2433</v>
      </c>
      <c r="B318" s="80" t="s">
        <v>2221</v>
      </c>
      <c r="C318" s="80">
        <v>3</v>
      </c>
      <c r="D318" s="104">
        <v>0.0005394802789677083</v>
      </c>
      <c r="E318" s="104">
        <v>1.8924096512947233</v>
      </c>
      <c r="F318" s="80" t="s">
        <v>3370</v>
      </c>
      <c r="G318" s="80" t="b">
        <v>0</v>
      </c>
      <c r="H318" s="80" t="b">
        <v>0</v>
      </c>
      <c r="I318" s="80" t="b">
        <v>0</v>
      </c>
      <c r="J318" s="80" t="b">
        <v>0</v>
      </c>
      <c r="K318" s="80" t="b">
        <v>0</v>
      </c>
      <c r="L318" s="80" t="b">
        <v>0</v>
      </c>
    </row>
    <row r="319" spans="1:12" ht="15">
      <c r="A319" s="81" t="s">
        <v>2364</v>
      </c>
      <c r="B319" s="80" t="s">
        <v>2303</v>
      </c>
      <c r="C319" s="80">
        <v>3</v>
      </c>
      <c r="D319" s="104">
        <v>0.0005394802789677083</v>
      </c>
      <c r="E319" s="104">
        <v>2.294466226161593</v>
      </c>
      <c r="F319" s="80" t="s">
        <v>3370</v>
      </c>
      <c r="G319" s="80" t="b">
        <v>0</v>
      </c>
      <c r="H319" s="80" t="b">
        <v>0</v>
      </c>
      <c r="I319" s="80" t="b">
        <v>0</v>
      </c>
      <c r="J319" s="80" t="b">
        <v>0</v>
      </c>
      <c r="K319" s="80" t="b">
        <v>0</v>
      </c>
      <c r="L319" s="80" t="b">
        <v>0</v>
      </c>
    </row>
    <row r="320" spans="1:12" ht="15">
      <c r="A320" s="81" t="s">
        <v>2314</v>
      </c>
      <c r="B320" s="80" t="s">
        <v>2706</v>
      </c>
      <c r="C320" s="80">
        <v>3</v>
      </c>
      <c r="D320" s="104">
        <v>0.0005394802789677083</v>
      </c>
      <c r="E320" s="104">
        <v>2.8037721642526567</v>
      </c>
      <c r="F320" s="80" t="s">
        <v>3370</v>
      </c>
      <c r="G320" s="80" t="b">
        <v>0</v>
      </c>
      <c r="H320" s="80" t="b">
        <v>0</v>
      </c>
      <c r="I320" s="80" t="b">
        <v>0</v>
      </c>
      <c r="J320" s="80" t="b">
        <v>0</v>
      </c>
      <c r="K320" s="80" t="b">
        <v>0</v>
      </c>
      <c r="L320" s="80" t="b">
        <v>0</v>
      </c>
    </row>
    <row r="321" spans="1:12" ht="15">
      <c r="A321" s="81" t="s">
        <v>2719</v>
      </c>
      <c r="B321" s="80" t="s">
        <v>2844</v>
      </c>
      <c r="C321" s="80">
        <v>3</v>
      </c>
      <c r="D321" s="104">
        <v>0.0005394802789677083</v>
      </c>
      <c r="E321" s="104">
        <v>3.440594261839831</v>
      </c>
      <c r="F321" s="80" t="s">
        <v>3370</v>
      </c>
      <c r="G321" s="80" t="b">
        <v>0</v>
      </c>
      <c r="H321" s="80" t="b">
        <v>0</v>
      </c>
      <c r="I321" s="80" t="b">
        <v>0</v>
      </c>
      <c r="J321" s="80" t="b">
        <v>1</v>
      </c>
      <c r="K321" s="80" t="b">
        <v>0</v>
      </c>
      <c r="L321" s="80" t="b">
        <v>0</v>
      </c>
    </row>
    <row r="322" spans="1:12" ht="15">
      <c r="A322" s="81" t="s">
        <v>2843</v>
      </c>
      <c r="B322" s="80" t="s">
        <v>2639</v>
      </c>
      <c r="C322" s="80">
        <v>3</v>
      </c>
      <c r="D322" s="104">
        <v>0.0007104914813761894</v>
      </c>
      <c r="E322" s="104">
        <v>3.315655525231531</v>
      </c>
      <c r="F322" s="80" t="s">
        <v>3370</v>
      </c>
      <c r="G322" s="80" t="b">
        <v>0</v>
      </c>
      <c r="H322" s="80" t="b">
        <v>0</v>
      </c>
      <c r="I322" s="80" t="b">
        <v>0</v>
      </c>
      <c r="J322" s="80" t="b">
        <v>0</v>
      </c>
      <c r="K322" s="80" t="b">
        <v>0</v>
      </c>
      <c r="L322" s="80" t="b">
        <v>0</v>
      </c>
    </row>
    <row r="323" spans="1:12" ht="15">
      <c r="A323" s="81" t="s">
        <v>2216</v>
      </c>
      <c r="B323" s="80" t="s">
        <v>2248</v>
      </c>
      <c r="C323" s="80">
        <v>3</v>
      </c>
      <c r="D323" s="104">
        <v>0.0005394802789677083</v>
      </c>
      <c r="E323" s="104">
        <v>1.1008116771838332</v>
      </c>
      <c r="F323" s="80" t="s">
        <v>3370</v>
      </c>
      <c r="G323" s="80" t="b">
        <v>0</v>
      </c>
      <c r="H323" s="80" t="b">
        <v>0</v>
      </c>
      <c r="I323" s="80" t="b">
        <v>0</v>
      </c>
      <c r="J323" s="80" t="b">
        <v>0</v>
      </c>
      <c r="K323" s="80" t="b">
        <v>0</v>
      </c>
      <c r="L323" s="80" t="b">
        <v>0</v>
      </c>
    </row>
    <row r="324" spans="1:12" ht="15">
      <c r="A324" s="81" t="s">
        <v>2214</v>
      </c>
      <c r="B324" s="80" t="s">
        <v>2292</v>
      </c>
      <c r="C324" s="80">
        <v>3</v>
      </c>
      <c r="D324" s="104">
        <v>0.0005394802789677083</v>
      </c>
      <c r="E324" s="104">
        <v>1.1918038842644452</v>
      </c>
      <c r="F324" s="80" t="s">
        <v>3370</v>
      </c>
      <c r="G324" s="80" t="b">
        <v>0</v>
      </c>
      <c r="H324" s="80" t="b">
        <v>0</v>
      </c>
      <c r="I324" s="80" t="b">
        <v>0</v>
      </c>
      <c r="J324" s="80" t="b">
        <v>0</v>
      </c>
      <c r="K324" s="80" t="b">
        <v>0</v>
      </c>
      <c r="L324" s="80" t="b">
        <v>0</v>
      </c>
    </row>
    <row r="325" spans="1:12" ht="15">
      <c r="A325" s="81" t="s">
        <v>2226</v>
      </c>
      <c r="B325" s="80" t="s">
        <v>2275</v>
      </c>
      <c r="C325" s="80">
        <v>3</v>
      </c>
      <c r="D325" s="104">
        <v>0.0005394802789677083</v>
      </c>
      <c r="E325" s="104">
        <v>1.5186189306875135</v>
      </c>
      <c r="F325" s="80" t="s">
        <v>3370</v>
      </c>
      <c r="G325" s="80" t="b">
        <v>0</v>
      </c>
      <c r="H325" s="80" t="b">
        <v>0</v>
      </c>
      <c r="I325" s="80" t="b">
        <v>0</v>
      </c>
      <c r="J325" s="80" t="b">
        <v>0</v>
      </c>
      <c r="K325" s="80" t="b">
        <v>0</v>
      </c>
      <c r="L325" s="80" t="b">
        <v>0</v>
      </c>
    </row>
    <row r="326" spans="1:12" ht="15">
      <c r="A326" s="81" t="s">
        <v>2216</v>
      </c>
      <c r="B326" s="80" t="s">
        <v>2365</v>
      </c>
      <c r="C326" s="80">
        <v>3</v>
      </c>
      <c r="D326" s="104">
        <v>0.0005394802789677083</v>
      </c>
      <c r="E326" s="104">
        <v>1.5267804094561144</v>
      </c>
      <c r="F326" s="80" t="s">
        <v>3370</v>
      </c>
      <c r="G326" s="80" t="b">
        <v>0</v>
      </c>
      <c r="H326" s="80" t="b">
        <v>0</v>
      </c>
      <c r="I326" s="80" t="b">
        <v>0</v>
      </c>
      <c r="J326" s="80" t="b">
        <v>0</v>
      </c>
      <c r="K326" s="80" t="b">
        <v>0</v>
      </c>
      <c r="L326" s="80" t="b">
        <v>0</v>
      </c>
    </row>
    <row r="327" spans="1:12" ht="15">
      <c r="A327" s="81" t="s">
        <v>2285</v>
      </c>
      <c r="B327" s="80" t="s">
        <v>2244</v>
      </c>
      <c r="C327" s="80">
        <v>3</v>
      </c>
      <c r="D327" s="104">
        <v>0.0006025954255826477</v>
      </c>
      <c r="E327" s="104">
        <v>1.7715874808812553</v>
      </c>
      <c r="F327" s="80" t="s">
        <v>3370</v>
      </c>
      <c r="G327" s="80" t="b">
        <v>0</v>
      </c>
      <c r="H327" s="80" t="b">
        <v>0</v>
      </c>
      <c r="I327" s="80" t="b">
        <v>0</v>
      </c>
      <c r="J327" s="80" t="b">
        <v>0</v>
      </c>
      <c r="K327" s="80" t="b">
        <v>0</v>
      </c>
      <c r="L327" s="80" t="b">
        <v>0</v>
      </c>
    </row>
    <row r="328" spans="1:12" ht="15">
      <c r="A328" s="81" t="s">
        <v>2866</v>
      </c>
      <c r="B328" s="80" t="s">
        <v>2611</v>
      </c>
      <c r="C328" s="80">
        <v>3</v>
      </c>
      <c r="D328" s="104">
        <v>0.0005394802789677083</v>
      </c>
      <c r="E328" s="104">
        <v>3.315655525231531</v>
      </c>
      <c r="F328" s="80" t="s">
        <v>3370</v>
      </c>
      <c r="G328" s="80" t="b">
        <v>0</v>
      </c>
      <c r="H328" s="80" t="b">
        <v>0</v>
      </c>
      <c r="I328" s="80" t="b">
        <v>0</v>
      </c>
      <c r="J328" s="80" t="b">
        <v>0</v>
      </c>
      <c r="K328" s="80" t="b">
        <v>0</v>
      </c>
      <c r="L328" s="80" t="b">
        <v>0</v>
      </c>
    </row>
    <row r="329" spans="1:12" ht="15">
      <c r="A329" s="81" t="s">
        <v>2608</v>
      </c>
      <c r="B329" s="80" t="s">
        <v>2320</v>
      </c>
      <c r="C329" s="80">
        <v>3</v>
      </c>
      <c r="D329" s="104">
        <v>0.0005394802789677083</v>
      </c>
      <c r="E329" s="104">
        <v>2.678833427644357</v>
      </c>
      <c r="F329" s="80" t="s">
        <v>3370</v>
      </c>
      <c r="G329" s="80" t="b">
        <v>0</v>
      </c>
      <c r="H329" s="80" t="b">
        <v>0</v>
      </c>
      <c r="I329" s="80" t="b">
        <v>0</v>
      </c>
      <c r="J329" s="80" t="b">
        <v>0</v>
      </c>
      <c r="K329" s="80" t="b">
        <v>0</v>
      </c>
      <c r="L329" s="80" t="b">
        <v>0</v>
      </c>
    </row>
    <row r="330" spans="1:12" ht="15">
      <c r="A330" s="81" t="s">
        <v>2674</v>
      </c>
      <c r="B330" s="80" t="s">
        <v>2610</v>
      </c>
      <c r="C330" s="80">
        <v>3</v>
      </c>
      <c r="D330" s="104">
        <v>0.0007104914813761894</v>
      </c>
      <c r="E330" s="104">
        <v>3.190716788623231</v>
      </c>
      <c r="F330" s="80" t="s">
        <v>3370</v>
      </c>
      <c r="G330" s="80" t="b">
        <v>0</v>
      </c>
      <c r="H330" s="80" t="b">
        <v>0</v>
      </c>
      <c r="I330" s="80" t="b">
        <v>0</v>
      </c>
      <c r="J330" s="80" t="b">
        <v>0</v>
      </c>
      <c r="K330" s="80" t="b">
        <v>0</v>
      </c>
      <c r="L330" s="80" t="b">
        <v>0</v>
      </c>
    </row>
    <row r="331" spans="1:12" ht="15">
      <c r="A331" s="81" t="s">
        <v>2638</v>
      </c>
      <c r="B331" s="80" t="s">
        <v>2216</v>
      </c>
      <c r="C331" s="80">
        <v>3</v>
      </c>
      <c r="D331" s="104">
        <v>0.0005394802789677083</v>
      </c>
      <c r="E331" s="104">
        <v>1.8789629275674768</v>
      </c>
      <c r="F331" s="80" t="s">
        <v>3370</v>
      </c>
      <c r="G331" s="80" t="b">
        <v>0</v>
      </c>
      <c r="H331" s="80" t="b">
        <v>0</v>
      </c>
      <c r="I331" s="80" t="b">
        <v>0</v>
      </c>
      <c r="J331" s="80" t="b">
        <v>0</v>
      </c>
      <c r="K331" s="80" t="b">
        <v>0</v>
      </c>
      <c r="L331" s="80" t="b">
        <v>0</v>
      </c>
    </row>
    <row r="332" spans="1:12" ht="15">
      <c r="A332" s="81" t="s">
        <v>2340</v>
      </c>
      <c r="B332" s="80" t="s">
        <v>2463</v>
      </c>
      <c r="C332" s="80">
        <v>3</v>
      </c>
      <c r="D332" s="104">
        <v>0.0005394802789677083</v>
      </c>
      <c r="E332" s="104">
        <v>2.6166855208955124</v>
      </c>
      <c r="F332" s="80" t="s">
        <v>3370</v>
      </c>
      <c r="G332" s="80" t="b">
        <v>0</v>
      </c>
      <c r="H332" s="80" t="b">
        <v>0</v>
      </c>
      <c r="I332" s="80" t="b">
        <v>0</v>
      </c>
      <c r="J332" s="80" t="b">
        <v>0</v>
      </c>
      <c r="K332" s="80" t="b">
        <v>0</v>
      </c>
      <c r="L332" s="80" t="b">
        <v>0</v>
      </c>
    </row>
    <row r="333" spans="1:12" ht="15">
      <c r="A333" s="81" t="s">
        <v>2665</v>
      </c>
      <c r="B333" s="80" t="s">
        <v>2761</v>
      </c>
      <c r="C333" s="80">
        <v>3</v>
      </c>
      <c r="D333" s="104">
        <v>0.0007104914813761894</v>
      </c>
      <c r="E333" s="104">
        <v>3.315655525231531</v>
      </c>
      <c r="F333" s="80" t="s">
        <v>3370</v>
      </c>
      <c r="G333" s="80" t="b">
        <v>0</v>
      </c>
      <c r="H333" s="80" t="b">
        <v>0</v>
      </c>
      <c r="I333" s="80" t="b">
        <v>0</v>
      </c>
      <c r="J333" s="80" t="b">
        <v>0</v>
      </c>
      <c r="K333" s="80" t="b">
        <v>0</v>
      </c>
      <c r="L333" s="80" t="b">
        <v>0</v>
      </c>
    </row>
    <row r="334" spans="1:12" ht="15">
      <c r="A334" s="81" t="s">
        <v>2216</v>
      </c>
      <c r="B334" s="80" t="s">
        <v>2814</v>
      </c>
      <c r="C334" s="80">
        <v>3</v>
      </c>
      <c r="D334" s="104">
        <v>0.0005394802789677083</v>
      </c>
      <c r="E334" s="104">
        <v>2.0039016641757765</v>
      </c>
      <c r="F334" s="80" t="s">
        <v>3370</v>
      </c>
      <c r="G334" s="80" t="b">
        <v>0</v>
      </c>
      <c r="H334" s="80" t="b">
        <v>0</v>
      </c>
      <c r="I334" s="80" t="b">
        <v>0</v>
      </c>
      <c r="J334" s="80" t="b">
        <v>0</v>
      </c>
      <c r="K334" s="80" t="b">
        <v>0</v>
      </c>
      <c r="L334" s="80" t="b">
        <v>0</v>
      </c>
    </row>
    <row r="335" spans="1:12" ht="15">
      <c r="A335" s="81" t="s">
        <v>2236</v>
      </c>
      <c r="B335" s="80" t="s">
        <v>2562</v>
      </c>
      <c r="C335" s="80">
        <v>3</v>
      </c>
      <c r="D335" s="104">
        <v>0.0005394802789677083</v>
      </c>
      <c r="E335" s="104">
        <v>2.190716788623231</v>
      </c>
      <c r="F335" s="80" t="s">
        <v>3370</v>
      </c>
      <c r="G335" s="80" t="b">
        <v>0</v>
      </c>
      <c r="H335" s="80" t="b">
        <v>0</v>
      </c>
      <c r="I335" s="80" t="b">
        <v>0</v>
      </c>
      <c r="J335" s="80" t="b">
        <v>0</v>
      </c>
      <c r="K335" s="80" t="b">
        <v>0</v>
      </c>
      <c r="L335" s="80" t="b">
        <v>0</v>
      </c>
    </row>
    <row r="336" spans="1:12" ht="15">
      <c r="A336" s="81" t="s">
        <v>2245</v>
      </c>
      <c r="B336" s="80" t="s">
        <v>2791</v>
      </c>
      <c r="C336" s="80">
        <v>3</v>
      </c>
      <c r="D336" s="104">
        <v>0.0005394802789677083</v>
      </c>
      <c r="E336" s="104">
        <v>2.5027421685886755</v>
      </c>
      <c r="F336" s="80" t="s">
        <v>3370</v>
      </c>
      <c r="G336" s="80" t="b">
        <v>0</v>
      </c>
      <c r="H336" s="80" t="b">
        <v>0</v>
      </c>
      <c r="I336" s="80" t="b">
        <v>0</v>
      </c>
      <c r="J336" s="80" t="b">
        <v>0</v>
      </c>
      <c r="K336" s="80" t="b">
        <v>0</v>
      </c>
      <c r="L336" s="80" t="b">
        <v>0</v>
      </c>
    </row>
    <row r="337" spans="1:12" ht="15">
      <c r="A337" s="81" t="s">
        <v>2826</v>
      </c>
      <c r="B337" s="80" t="s">
        <v>2248</v>
      </c>
      <c r="C337" s="80">
        <v>3</v>
      </c>
      <c r="D337" s="104">
        <v>0.0006025954255826477</v>
      </c>
      <c r="E337" s="104">
        <v>2.5375042748478873</v>
      </c>
      <c r="F337" s="80" t="s">
        <v>3370</v>
      </c>
      <c r="G337" s="80" t="b">
        <v>0</v>
      </c>
      <c r="H337" s="80" t="b">
        <v>0</v>
      </c>
      <c r="I337" s="80" t="b">
        <v>0</v>
      </c>
      <c r="J337" s="80" t="b">
        <v>0</v>
      </c>
      <c r="K337" s="80" t="b">
        <v>0</v>
      </c>
      <c r="L337" s="80" t="b">
        <v>0</v>
      </c>
    </row>
    <row r="338" spans="1:12" ht="15">
      <c r="A338" s="81" t="s">
        <v>2657</v>
      </c>
      <c r="B338" s="80" t="s">
        <v>2216</v>
      </c>
      <c r="C338" s="80">
        <v>3</v>
      </c>
      <c r="D338" s="104">
        <v>0.0005394802789677083</v>
      </c>
      <c r="E338" s="104">
        <v>1.8789629275674768</v>
      </c>
      <c r="F338" s="80" t="s">
        <v>3370</v>
      </c>
      <c r="G338" s="80" t="b">
        <v>0</v>
      </c>
      <c r="H338" s="80" t="b">
        <v>0</v>
      </c>
      <c r="I338" s="80" t="b">
        <v>0</v>
      </c>
      <c r="J338" s="80" t="b">
        <v>0</v>
      </c>
      <c r="K338" s="80" t="b">
        <v>0</v>
      </c>
      <c r="L338" s="80" t="b">
        <v>0</v>
      </c>
    </row>
    <row r="339" spans="1:12" ht="15">
      <c r="A339" s="81" t="s">
        <v>2611</v>
      </c>
      <c r="B339" s="80" t="s">
        <v>2373</v>
      </c>
      <c r="C339" s="80">
        <v>3</v>
      </c>
      <c r="D339" s="104">
        <v>0.0005394802789677083</v>
      </c>
      <c r="E339" s="104">
        <v>2.88968679295925</v>
      </c>
      <c r="F339" s="80" t="s">
        <v>3370</v>
      </c>
      <c r="G339" s="80" t="b">
        <v>0</v>
      </c>
      <c r="H339" s="80" t="b">
        <v>0</v>
      </c>
      <c r="I339" s="80" t="b">
        <v>0</v>
      </c>
      <c r="J339" s="80" t="b">
        <v>1</v>
      </c>
      <c r="K339" s="80" t="b">
        <v>0</v>
      </c>
      <c r="L339" s="80" t="b">
        <v>0</v>
      </c>
    </row>
    <row r="340" spans="1:12" ht="15">
      <c r="A340" s="81" t="s">
        <v>2842</v>
      </c>
      <c r="B340" s="80" t="s">
        <v>2725</v>
      </c>
      <c r="C340" s="80">
        <v>3</v>
      </c>
      <c r="D340" s="104">
        <v>0.0005394802789677083</v>
      </c>
      <c r="E340" s="104">
        <v>3.440594261839831</v>
      </c>
      <c r="F340" s="80" t="s">
        <v>3370</v>
      </c>
      <c r="G340" s="80" t="b">
        <v>0</v>
      </c>
      <c r="H340" s="80" t="b">
        <v>0</v>
      </c>
      <c r="I340" s="80" t="b">
        <v>0</v>
      </c>
      <c r="J340" s="80" t="b">
        <v>0</v>
      </c>
      <c r="K340" s="80" t="b">
        <v>0</v>
      </c>
      <c r="L340" s="80" t="b">
        <v>0</v>
      </c>
    </row>
    <row r="341" spans="1:12" ht="15">
      <c r="A341" s="81" t="s">
        <v>2520</v>
      </c>
      <c r="B341" s="80" t="s">
        <v>2286</v>
      </c>
      <c r="C341" s="80">
        <v>3</v>
      </c>
      <c r="D341" s="104">
        <v>0.0005394802789677083</v>
      </c>
      <c r="E341" s="104">
        <v>2.5197755078874557</v>
      </c>
      <c r="F341" s="80" t="s">
        <v>3370</v>
      </c>
      <c r="G341" s="80" t="b">
        <v>0</v>
      </c>
      <c r="H341" s="80" t="b">
        <v>0</v>
      </c>
      <c r="I341" s="80" t="b">
        <v>0</v>
      </c>
      <c r="J341" s="80" t="b">
        <v>0</v>
      </c>
      <c r="K341" s="80" t="b">
        <v>0</v>
      </c>
      <c r="L341" s="80" t="b">
        <v>0</v>
      </c>
    </row>
    <row r="342" spans="1:12" ht="15">
      <c r="A342" s="81" t="s">
        <v>2246</v>
      </c>
      <c r="B342" s="80" t="s">
        <v>2364</v>
      </c>
      <c r="C342" s="80">
        <v>3</v>
      </c>
      <c r="D342" s="104">
        <v>0.0005394802789677083</v>
      </c>
      <c r="E342" s="104">
        <v>2.060383020128225</v>
      </c>
      <c r="F342" s="80" t="s">
        <v>3370</v>
      </c>
      <c r="G342" s="80" t="b">
        <v>0</v>
      </c>
      <c r="H342" s="80" t="b">
        <v>0</v>
      </c>
      <c r="I342" s="80" t="b">
        <v>0</v>
      </c>
      <c r="J342" s="80" t="b">
        <v>0</v>
      </c>
      <c r="K342" s="80" t="b">
        <v>0</v>
      </c>
      <c r="L342" s="80" t="b">
        <v>0</v>
      </c>
    </row>
    <row r="343" spans="1:12" ht="15">
      <c r="A343" s="81" t="s">
        <v>2834</v>
      </c>
      <c r="B343" s="80" t="s">
        <v>2500</v>
      </c>
      <c r="C343" s="80">
        <v>3</v>
      </c>
      <c r="D343" s="104">
        <v>0.0005394802789677083</v>
      </c>
      <c r="E343" s="104">
        <v>3.2187455122234745</v>
      </c>
      <c r="F343" s="80" t="s">
        <v>3370</v>
      </c>
      <c r="G343" s="80" t="b">
        <v>0</v>
      </c>
      <c r="H343" s="80" t="b">
        <v>0</v>
      </c>
      <c r="I343" s="80" t="b">
        <v>0</v>
      </c>
      <c r="J343" s="80" t="b">
        <v>0</v>
      </c>
      <c r="K343" s="80" t="b">
        <v>0</v>
      </c>
      <c r="L343" s="80" t="b">
        <v>0</v>
      </c>
    </row>
    <row r="344" spans="1:12" ht="15">
      <c r="A344" s="81" t="s">
        <v>2725</v>
      </c>
      <c r="B344" s="80" t="s">
        <v>2245</v>
      </c>
      <c r="C344" s="80">
        <v>3</v>
      </c>
      <c r="D344" s="104">
        <v>0.0005394802789677083</v>
      </c>
      <c r="E344" s="104">
        <v>2.5027421685886755</v>
      </c>
      <c r="F344" s="80" t="s">
        <v>3370</v>
      </c>
      <c r="G344" s="80" t="b">
        <v>0</v>
      </c>
      <c r="H344" s="80" t="b">
        <v>0</v>
      </c>
      <c r="I344" s="80" t="b">
        <v>0</v>
      </c>
      <c r="J344" s="80" t="b">
        <v>0</v>
      </c>
      <c r="K344" s="80" t="b">
        <v>0</v>
      </c>
      <c r="L344" s="80" t="b">
        <v>0</v>
      </c>
    </row>
    <row r="345" spans="1:12" ht="15">
      <c r="A345" s="81" t="s">
        <v>2319</v>
      </c>
      <c r="B345" s="80" t="s">
        <v>2227</v>
      </c>
      <c r="C345" s="80">
        <v>3</v>
      </c>
      <c r="D345" s="104">
        <v>0.0007104914813761894</v>
      </c>
      <c r="E345" s="104">
        <v>1.6374407424861317</v>
      </c>
      <c r="F345" s="80" t="s">
        <v>3370</v>
      </c>
      <c r="G345" s="80" t="b">
        <v>0</v>
      </c>
      <c r="H345" s="80" t="b">
        <v>0</v>
      </c>
      <c r="I345" s="80" t="b">
        <v>0</v>
      </c>
      <c r="J345" s="80" t="b">
        <v>0</v>
      </c>
      <c r="K345" s="80" t="b">
        <v>0</v>
      </c>
      <c r="L345" s="80" t="b">
        <v>0</v>
      </c>
    </row>
    <row r="346" spans="1:12" ht="15">
      <c r="A346" s="81" t="s">
        <v>2712</v>
      </c>
      <c r="B346" s="80" t="s">
        <v>2874</v>
      </c>
      <c r="C346" s="80">
        <v>3</v>
      </c>
      <c r="D346" s="104">
        <v>0.0005394802789677083</v>
      </c>
      <c r="E346" s="104">
        <v>3.440594261839831</v>
      </c>
      <c r="F346" s="80" t="s">
        <v>3370</v>
      </c>
      <c r="G346" s="80" t="b">
        <v>0</v>
      </c>
      <c r="H346" s="80" t="b">
        <v>0</v>
      </c>
      <c r="I346" s="80" t="b">
        <v>0</v>
      </c>
      <c r="J346" s="80" t="b">
        <v>0</v>
      </c>
      <c r="K346" s="80" t="b">
        <v>0</v>
      </c>
      <c r="L346" s="80" t="b">
        <v>0</v>
      </c>
    </row>
    <row r="347" spans="1:12" ht="15">
      <c r="A347" s="81" t="s">
        <v>2229</v>
      </c>
      <c r="B347" s="80" t="s">
        <v>2674</v>
      </c>
      <c r="C347" s="80">
        <v>3</v>
      </c>
      <c r="D347" s="104">
        <v>0.0007104914813761894</v>
      </c>
      <c r="E347" s="104">
        <v>2.179992923231458</v>
      </c>
      <c r="F347" s="80" t="s">
        <v>3370</v>
      </c>
      <c r="G347" s="80" t="b">
        <v>0</v>
      </c>
      <c r="H347" s="80" t="b">
        <v>0</v>
      </c>
      <c r="I347" s="80" t="b">
        <v>0</v>
      </c>
      <c r="J347" s="80" t="b">
        <v>0</v>
      </c>
      <c r="K347" s="80" t="b">
        <v>0</v>
      </c>
      <c r="L347" s="80" t="b">
        <v>0</v>
      </c>
    </row>
    <row r="348" spans="1:12" ht="15">
      <c r="A348" s="81" t="s">
        <v>2240</v>
      </c>
      <c r="B348" s="80" t="s">
        <v>2470</v>
      </c>
      <c r="C348" s="80">
        <v>3</v>
      </c>
      <c r="D348" s="104">
        <v>0.0005394802789677083</v>
      </c>
      <c r="E348" s="104">
        <v>2.236474279183906</v>
      </c>
      <c r="F348" s="80" t="s">
        <v>3370</v>
      </c>
      <c r="G348" s="80" t="b">
        <v>0</v>
      </c>
      <c r="H348" s="80" t="b">
        <v>0</v>
      </c>
      <c r="I348" s="80" t="b">
        <v>0</v>
      </c>
      <c r="J348" s="80" t="b">
        <v>0</v>
      </c>
      <c r="K348" s="80" t="b">
        <v>0</v>
      </c>
      <c r="L348" s="80" t="b">
        <v>0</v>
      </c>
    </row>
    <row r="349" spans="1:12" ht="15">
      <c r="A349" s="81" t="s">
        <v>2355</v>
      </c>
      <c r="B349" s="80" t="s">
        <v>2222</v>
      </c>
      <c r="C349" s="80">
        <v>3</v>
      </c>
      <c r="D349" s="104">
        <v>0.0005394802789677083</v>
      </c>
      <c r="E349" s="104">
        <v>1.7330240857418946</v>
      </c>
      <c r="F349" s="80" t="s">
        <v>3370</v>
      </c>
      <c r="G349" s="80" t="b">
        <v>0</v>
      </c>
      <c r="H349" s="80" t="b">
        <v>0</v>
      </c>
      <c r="I349" s="80" t="b">
        <v>0</v>
      </c>
      <c r="J349" s="80" t="b">
        <v>0</v>
      </c>
      <c r="K349" s="80" t="b">
        <v>0</v>
      </c>
      <c r="L349" s="80" t="b">
        <v>0</v>
      </c>
    </row>
    <row r="350" spans="1:12" ht="15">
      <c r="A350" s="81" t="s">
        <v>2245</v>
      </c>
      <c r="B350" s="80" t="s">
        <v>2254</v>
      </c>
      <c r="C350" s="80">
        <v>3</v>
      </c>
      <c r="D350" s="104">
        <v>0.0005394802789677083</v>
      </c>
      <c r="E350" s="104">
        <v>1.6374407424861317</v>
      </c>
      <c r="F350" s="80" t="s">
        <v>3370</v>
      </c>
      <c r="G350" s="80" t="b">
        <v>0</v>
      </c>
      <c r="H350" s="80" t="b">
        <v>0</v>
      </c>
      <c r="I350" s="80" t="b">
        <v>0</v>
      </c>
      <c r="J350" s="80" t="b">
        <v>0</v>
      </c>
      <c r="K350" s="80" t="b">
        <v>0</v>
      </c>
      <c r="L350" s="80" t="b">
        <v>0</v>
      </c>
    </row>
    <row r="351" spans="1:12" ht="15">
      <c r="A351" s="81" t="s">
        <v>2853</v>
      </c>
      <c r="B351" s="80" t="s">
        <v>2243</v>
      </c>
      <c r="C351" s="80">
        <v>3</v>
      </c>
      <c r="D351" s="104">
        <v>0.0006025954255826477</v>
      </c>
      <c r="E351" s="104">
        <v>2.4705574852172743</v>
      </c>
      <c r="F351" s="80" t="s">
        <v>3370</v>
      </c>
      <c r="G351" s="80" t="b">
        <v>0</v>
      </c>
      <c r="H351" s="80" t="b">
        <v>0</v>
      </c>
      <c r="I351" s="80" t="b">
        <v>0</v>
      </c>
      <c r="J351" s="80" t="b">
        <v>0</v>
      </c>
      <c r="K351" s="80" t="b">
        <v>0</v>
      </c>
      <c r="L351" s="80" t="b">
        <v>0</v>
      </c>
    </row>
    <row r="352" spans="1:12" ht="15">
      <c r="A352" s="81" t="s">
        <v>2742</v>
      </c>
      <c r="B352" s="80" t="s">
        <v>2213</v>
      </c>
      <c r="C352" s="80">
        <v>3</v>
      </c>
      <c r="D352" s="104">
        <v>0.0005394802789677083</v>
      </c>
      <c r="E352" s="104">
        <v>1.8608106652230207</v>
      </c>
      <c r="F352" s="80" t="s">
        <v>3370</v>
      </c>
      <c r="G352" s="80" t="b">
        <v>0</v>
      </c>
      <c r="H352" s="80" t="b">
        <v>0</v>
      </c>
      <c r="I352" s="80" t="b">
        <v>0</v>
      </c>
      <c r="J352" s="80" t="b">
        <v>0</v>
      </c>
      <c r="K352" s="80" t="b">
        <v>0</v>
      </c>
      <c r="L352" s="80" t="b">
        <v>0</v>
      </c>
    </row>
    <row r="353" spans="1:12" ht="15">
      <c r="A353" s="81" t="s">
        <v>2214</v>
      </c>
      <c r="B353" s="80" t="s">
        <v>2357</v>
      </c>
      <c r="C353" s="80">
        <v>3</v>
      </c>
      <c r="D353" s="104">
        <v>0.0005394802789677083</v>
      </c>
      <c r="E353" s="104">
        <v>1.4348419329507396</v>
      </c>
      <c r="F353" s="80" t="s">
        <v>3370</v>
      </c>
      <c r="G353" s="80" t="b">
        <v>0</v>
      </c>
      <c r="H353" s="80" t="b">
        <v>0</v>
      </c>
      <c r="I353" s="80" t="b">
        <v>0</v>
      </c>
      <c r="J353" s="80" t="b">
        <v>0</v>
      </c>
      <c r="K353" s="80" t="b">
        <v>0</v>
      </c>
      <c r="L353" s="80" t="b">
        <v>0</v>
      </c>
    </row>
    <row r="354" spans="1:12" ht="15">
      <c r="A354" s="81" t="s">
        <v>2445</v>
      </c>
      <c r="B354" s="80" t="s">
        <v>2396</v>
      </c>
      <c r="C354" s="80">
        <v>3</v>
      </c>
      <c r="D354" s="104">
        <v>0.0005394802789677083</v>
      </c>
      <c r="E354" s="104">
        <v>2.7715874808812555</v>
      </c>
      <c r="F354" s="80" t="s">
        <v>3370</v>
      </c>
      <c r="G354" s="80" t="b">
        <v>0</v>
      </c>
      <c r="H354" s="80" t="b">
        <v>0</v>
      </c>
      <c r="I354" s="80" t="b">
        <v>0</v>
      </c>
      <c r="J354" s="80" t="b">
        <v>0</v>
      </c>
      <c r="K354" s="80" t="b">
        <v>0</v>
      </c>
      <c r="L354" s="80" t="b">
        <v>0</v>
      </c>
    </row>
    <row r="355" spans="1:12" ht="15">
      <c r="A355" s="81" t="s">
        <v>2880</v>
      </c>
      <c r="B355" s="80" t="s">
        <v>2298</v>
      </c>
      <c r="C355" s="80">
        <v>3</v>
      </c>
      <c r="D355" s="104">
        <v>0.0007104914813761894</v>
      </c>
      <c r="E355" s="104">
        <v>2.7715874808812555</v>
      </c>
      <c r="F355" s="80" t="s">
        <v>3370</v>
      </c>
      <c r="G355" s="80" t="b">
        <v>0</v>
      </c>
      <c r="H355" s="80" t="b">
        <v>0</v>
      </c>
      <c r="I355" s="80" t="b">
        <v>0</v>
      </c>
      <c r="J355" s="80" t="b">
        <v>0</v>
      </c>
      <c r="K355" s="80" t="b">
        <v>0</v>
      </c>
      <c r="L355" s="80" t="b">
        <v>0</v>
      </c>
    </row>
    <row r="356" spans="1:12" ht="15">
      <c r="A356" s="81" t="s">
        <v>2277</v>
      </c>
      <c r="B356" s="80" t="s">
        <v>2248</v>
      </c>
      <c r="C356" s="80">
        <v>3</v>
      </c>
      <c r="D356" s="104">
        <v>0.0007104914813761894</v>
      </c>
      <c r="E356" s="104">
        <v>1.8105055469116251</v>
      </c>
      <c r="F356" s="80" t="s">
        <v>3370</v>
      </c>
      <c r="G356" s="80" t="b">
        <v>0</v>
      </c>
      <c r="H356" s="80" t="b">
        <v>0</v>
      </c>
      <c r="I356" s="80" t="b">
        <v>0</v>
      </c>
      <c r="J356" s="80" t="b">
        <v>0</v>
      </c>
      <c r="K356" s="80" t="b">
        <v>0</v>
      </c>
      <c r="L356" s="80" t="b">
        <v>0</v>
      </c>
    </row>
    <row r="357" spans="1:12" ht="15">
      <c r="A357" s="81" t="s">
        <v>2544</v>
      </c>
      <c r="B357" s="80" t="s">
        <v>2245</v>
      </c>
      <c r="C357" s="80">
        <v>3</v>
      </c>
      <c r="D357" s="104">
        <v>0.0005394802789677083</v>
      </c>
      <c r="E357" s="104">
        <v>2.280893418972319</v>
      </c>
      <c r="F357" s="80" t="s">
        <v>3370</v>
      </c>
      <c r="G357" s="80" t="b">
        <v>0</v>
      </c>
      <c r="H357" s="80" t="b">
        <v>1</v>
      </c>
      <c r="I357" s="80" t="b">
        <v>0</v>
      </c>
      <c r="J357" s="80" t="b">
        <v>0</v>
      </c>
      <c r="K357" s="80" t="b">
        <v>0</v>
      </c>
      <c r="L357" s="80" t="b">
        <v>0</v>
      </c>
    </row>
    <row r="358" spans="1:12" ht="15">
      <c r="A358" s="81" t="s">
        <v>2220</v>
      </c>
      <c r="B358" s="80" t="s">
        <v>2298</v>
      </c>
      <c r="C358" s="80">
        <v>3</v>
      </c>
      <c r="D358" s="104">
        <v>0.0006025954255826477</v>
      </c>
      <c r="E358" s="104">
        <v>1.4852807420379806</v>
      </c>
      <c r="F358" s="80" t="s">
        <v>3370</v>
      </c>
      <c r="G358" s="80" t="b">
        <v>0</v>
      </c>
      <c r="H358" s="80" t="b">
        <v>0</v>
      </c>
      <c r="I358" s="80" t="b">
        <v>0</v>
      </c>
      <c r="J358" s="80" t="b">
        <v>0</v>
      </c>
      <c r="K358" s="80" t="b">
        <v>0</v>
      </c>
      <c r="L358" s="80" t="b">
        <v>0</v>
      </c>
    </row>
    <row r="359" spans="1:12" ht="15">
      <c r="A359" s="81" t="s">
        <v>2501</v>
      </c>
      <c r="B359" s="80" t="s">
        <v>2242</v>
      </c>
      <c r="C359" s="80">
        <v>3</v>
      </c>
      <c r="D359" s="104">
        <v>0.0005394802789677083</v>
      </c>
      <c r="E359" s="104">
        <v>2.248708735600918</v>
      </c>
      <c r="F359" s="80" t="s">
        <v>3370</v>
      </c>
      <c r="G359" s="80" t="b">
        <v>0</v>
      </c>
      <c r="H359" s="80" t="b">
        <v>0</v>
      </c>
      <c r="I359" s="80" t="b">
        <v>0</v>
      </c>
      <c r="J359" s="80" t="b">
        <v>0</v>
      </c>
      <c r="K359" s="80" t="b">
        <v>0</v>
      </c>
      <c r="L359" s="80" t="b">
        <v>0</v>
      </c>
    </row>
    <row r="360" spans="1:12" ht="15">
      <c r="A360" s="81" t="s">
        <v>2216</v>
      </c>
      <c r="B360" s="80" t="s">
        <v>2866</v>
      </c>
      <c r="C360" s="80">
        <v>3</v>
      </c>
      <c r="D360" s="104">
        <v>0.0005394802789677083</v>
      </c>
      <c r="E360" s="104">
        <v>2.0039016641757765</v>
      </c>
      <c r="F360" s="80" t="s">
        <v>3370</v>
      </c>
      <c r="G360" s="80" t="b">
        <v>0</v>
      </c>
      <c r="H360" s="80" t="b">
        <v>0</v>
      </c>
      <c r="I360" s="80" t="b">
        <v>0</v>
      </c>
      <c r="J360" s="80" t="b">
        <v>0</v>
      </c>
      <c r="K360" s="80" t="b">
        <v>0</v>
      </c>
      <c r="L360" s="80" t="b">
        <v>0</v>
      </c>
    </row>
    <row r="361" spans="1:12" ht="15">
      <c r="A361" s="81" t="s">
        <v>2217</v>
      </c>
      <c r="B361" s="80" t="s">
        <v>2691</v>
      </c>
      <c r="C361" s="80">
        <v>3</v>
      </c>
      <c r="D361" s="104">
        <v>0.0005394802789677083</v>
      </c>
      <c r="E361" s="104">
        <v>2.104802159916638</v>
      </c>
      <c r="F361" s="80" t="s">
        <v>3370</v>
      </c>
      <c r="G361" s="80" t="b">
        <v>0</v>
      </c>
      <c r="H361" s="80" t="b">
        <v>0</v>
      </c>
      <c r="I361" s="80" t="b">
        <v>0</v>
      </c>
      <c r="J361" s="80" t="b">
        <v>0</v>
      </c>
      <c r="K361" s="80" t="b">
        <v>0</v>
      </c>
      <c r="L361" s="80" t="b">
        <v>0</v>
      </c>
    </row>
    <row r="362" spans="1:12" ht="15">
      <c r="A362" s="81" t="s">
        <v>2281</v>
      </c>
      <c r="B362" s="80" t="s">
        <v>2284</v>
      </c>
      <c r="C362" s="80">
        <v>3</v>
      </c>
      <c r="D362" s="104">
        <v>0.0005394802789677083</v>
      </c>
      <c r="E362" s="104">
        <v>2.01462552956755</v>
      </c>
      <c r="F362" s="80" t="s">
        <v>3370</v>
      </c>
      <c r="G362" s="80" t="b">
        <v>0</v>
      </c>
      <c r="H362" s="80" t="b">
        <v>0</v>
      </c>
      <c r="I362" s="80" t="b">
        <v>0</v>
      </c>
      <c r="J362" s="80" t="b">
        <v>0</v>
      </c>
      <c r="K362" s="80" t="b">
        <v>0</v>
      </c>
      <c r="L362" s="80" t="b">
        <v>0</v>
      </c>
    </row>
    <row r="363" spans="1:12" ht="15">
      <c r="A363" s="81" t="s">
        <v>2223</v>
      </c>
      <c r="B363" s="80" t="s">
        <v>2258</v>
      </c>
      <c r="C363" s="80">
        <v>3</v>
      </c>
      <c r="D363" s="104">
        <v>0.0006025954255826477</v>
      </c>
      <c r="E363" s="104">
        <v>1.3650473004473003</v>
      </c>
      <c r="F363" s="80" t="s">
        <v>3370</v>
      </c>
      <c r="G363" s="80" t="b">
        <v>0</v>
      </c>
      <c r="H363" s="80" t="b">
        <v>0</v>
      </c>
      <c r="I363" s="80" t="b">
        <v>0</v>
      </c>
      <c r="J363" s="80" t="b">
        <v>0</v>
      </c>
      <c r="K363" s="80" t="b">
        <v>0</v>
      </c>
      <c r="L363" s="80" t="b">
        <v>0</v>
      </c>
    </row>
    <row r="364" spans="1:12" ht="15">
      <c r="A364" s="81" t="s">
        <v>2827</v>
      </c>
      <c r="B364" s="80" t="s">
        <v>2826</v>
      </c>
      <c r="C364" s="80">
        <v>3</v>
      </c>
      <c r="D364" s="104">
        <v>0.0006025954255826477</v>
      </c>
      <c r="E364" s="104">
        <v>3.440594261839831</v>
      </c>
      <c r="F364" s="80" t="s">
        <v>3370</v>
      </c>
      <c r="G364" s="80" t="b">
        <v>0</v>
      </c>
      <c r="H364" s="80" t="b">
        <v>0</v>
      </c>
      <c r="I364" s="80" t="b">
        <v>0</v>
      </c>
      <c r="J364" s="80" t="b">
        <v>0</v>
      </c>
      <c r="K364" s="80" t="b">
        <v>0</v>
      </c>
      <c r="L364" s="80" t="b">
        <v>0</v>
      </c>
    </row>
    <row r="365" spans="1:12" ht="15">
      <c r="A365" s="81" t="s">
        <v>2323</v>
      </c>
      <c r="B365" s="80" t="s">
        <v>2501</v>
      </c>
      <c r="C365" s="80">
        <v>3</v>
      </c>
      <c r="D365" s="104">
        <v>0.0005394802789677083</v>
      </c>
      <c r="E365" s="104">
        <v>2.6166855208955124</v>
      </c>
      <c r="F365" s="80" t="s">
        <v>3370</v>
      </c>
      <c r="G365" s="80" t="b">
        <v>0</v>
      </c>
      <c r="H365" s="80" t="b">
        <v>0</v>
      </c>
      <c r="I365" s="80" t="b">
        <v>0</v>
      </c>
      <c r="J365" s="80" t="b">
        <v>0</v>
      </c>
      <c r="K365" s="80" t="b">
        <v>0</v>
      </c>
      <c r="L365" s="80" t="b">
        <v>0</v>
      </c>
    </row>
    <row r="366" spans="1:12" ht="15">
      <c r="A366" s="81" t="s">
        <v>2213</v>
      </c>
      <c r="B366" s="80" t="s">
        <v>2290</v>
      </c>
      <c r="C366" s="80">
        <v>3</v>
      </c>
      <c r="D366" s="104">
        <v>0.0005394802789677083</v>
      </c>
      <c r="E366" s="104">
        <v>1.0948938712563887</v>
      </c>
      <c r="F366" s="80" t="s">
        <v>3370</v>
      </c>
      <c r="G366" s="80" t="b">
        <v>0</v>
      </c>
      <c r="H366" s="80" t="b">
        <v>0</v>
      </c>
      <c r="I366" s="80" t="b">
        <v>0</v>
      </c>
      <c r="J366" s="80" t="b">
        <v>0</v>
      </c>
      <c r="K366" s="80" t="b">
        <v>0</v>
      </c>
      <c r="L366" s="80" t="b">
        <v>0</v>
      </c>
    </row>
    <row r="367" spans="1:12" ht="15">
      <c r="A367" s="81" t="s">
        <v>2332</v>
      </c>
      <c r="B367" s="80" t="s">
        <v>2213</v>
      </c>
      <c r="C367" s="80">
        <v>3</v>
      </c>
      <c r="D367" s="104">
        <v>0.0005394802789677083</v>
      </c>
      <c r="E367" s="104">
        <v>1.2965392347844582</v>
      </c>
      <c r="F367" s="80" t="s">
        <v>3370</v>
      </c>
      <c r="G367" s="80" t="b">
        <v>0</v>
      </c>
      <c r="H367" s="80" t="b">
        <v>0</v>
      </c>
      <c r="I367" s="80" t="b">
        <v>0</v>
      </c>
      <c r="J367" s="80" t="b">
        <v>0</v>
      </c>
      <c r="K367" s="80" t="b">
        <v>0</v>
      </c>
      <c r="L367" s="80" t="b">
        <v>0</v>
      </c>
    </row>
    <row r="368" spans="1:12" ht="15">
      <c r="A368" s="81" t="s">
        <v>2576</v>
      </c>
      <c r="B368" s="80" t="s">
        <v>2416</v>
      </c>
      <c r="C368" s="80">
        <v>3</v>
      </c>
      <c r="D368" s="104">
        <v>0.0007104914813761894</v>
      </c>
      <c r="E368" s="104">
        <v>2.9476787399369364</v>
      </c>
      <c r="F368" s="80" t="s">
        <v>3370</v>
      </c>
      <c r="G368" s="80" t="b">
        <v>0</v>
      </c>
      <c r="H368" s="80" t="b">
        <v>0</v>
      </c>
      <c r="I368" s="80" t="b">
        <v>0</v>
      </c>
      <c r="J368" s="80" t="b">
        <v>0</v>
      </c>
      <c r="K368" s="80" t="b">
        <v>0</v>
      </c>
      <c r="L368" s="80" t="b">
        <v>0</v>
      </c>
    </row>
    <row r="369" spans="1:12" ht="15">
      <c r="A369" s="81" t="s">
        <v>2252</v>
      </c>
      <c r="B369" s="80" t="s">
        <v>2236</v>
      </c>
      <c r="C369" s="80">
        <v>3</v>
      </c>
      <c r="D369" s="104">
        <v>0.0005394802789677083</v>
      </c>
      <c r="E369" s="104">
        <v>1.5886567972952685</v>
      </c>
      <c r="F369" s="80" t="s">
        <v>3370</v>
      </c>
      <c r="G369" s="80" t="b">
        <v>0</v>
      </c>
      <c r="H369" s="80" t="b">
        <v>0</v>
      </c>
      <c r="I369" s="80" t="b">
        <v>0</v>
      </c>
      <c r="J369" s="80" t="b">
        <v>0</v>
      </c>
      <c r="K369" s="80" t="b">
        <v>0</v>
      </c>
      <c r="L369" s="80" t="b">
        <v>0</v>
      </c>
    </row>
    <row r="370" spans="1:12" ht="15">
      <c r="A370" s="81" t="s">
        <v>2811</v>
      </c>
      <c r="B370" s="80" t="s">
        <v>2230</v>
      </c>
      <c r="C370" s="80">
        <v>3</v>
      </c>
      <c r="D370" s="104">
        <v>0.0005394802789677083</v>
      </c>
      <c r="E370" s="104">
        <v>2.304931659839758</v>
      </c>
      <c r="F370" s="80" t="s">
        <v>3370</v>
      </c>
      <c r="G370" s="80" t="b">
        <v>0</v>
      </c>
      <c r="H370" s="80" t="b">
        <v>0</v>
      </c>
      <c r="I370" s="80" t="b">
        <v>0</v>
      </c>
      <c r="J370" s="80" t="b">
        <v>0</v>
      </c>
      <c r="K370" s="80" t="b">
        <v>0</v>
      </c>
      <c r="L370" s="80" t="b">
        <v>0</v>
      </c>
    </row>
    <row r="371" spans="1:12" ht="15">
      <c r="A371" s="81" t="s">
        <v>2326</v>
      </c>
      <c r="B371" s="80" t="s">
        <v>2701</v>
      </c>
      <c r="C371" s="80">
        <v>3</v>
      </c>
      <c r="D371" s="104">
        <v>0.0005394802789677083</v>
      </c>
      <c r="E371" s="104">
        <v>2.8385342705118686</v>
      </c>
      <c r="F371" s="80" t="s">
        <v>3370</v>
      </c>
      <c r="G371" s="80" t="b">
        <v>0</v>
      </c>
      <c r="H371" s="80" t="b">
        <v>0</v>
      </c>
      <c r="I371" s="80" t="b">
        <v>0</v>
      </c>
      <c r="J371" s="80" t="b">
        <v>0</v>
      </c>
      <c r="K371" s="80" t="b">
        <v>0</v>
      </c>
      <c r="L371" s="80" t="b">
        <v>0</v>
      </c>
    </row>
    <row r="372" spans="1:12" ht="15">
      <c r="A372" s="81" t="s">
        <v>2691</v>
      </c>
      <c r="B372" s="80" t="s">
        <v>2271</v>
      </c>
      <c r="C372" s="80">
        <v>3</v>
      </c>
      <c r="D372" s="104">
        <v>0.0005394802789677083</v>
      </c>
      <c r="E372" s="104">
        <v>2.6872665951812196</v>
      </c>
      <c r="F372" s="80" t="s">
        <v>3370</v>
      </c>
      <c r="G372" s="80" t="b">
        <v>0</v>
      </c>
      <c r="H372" s="80" t="b">
        <v>0</v>
      </c>
      <c r="I372" s="80" t="b">
        <v>0</v>
      </c>
      <c r="J372" s="80" t="b">
        <v>0</v>
      </c>
      <c r="K372" s="80" t="b">
        <v>0</v>
      </c>
      <c r="L372" s="80" t="b">
        <v>0</v>
      </c>
    </row>
    <row r="373" spans="1:12" ht="15">
      <c r="A373" s="81" t="s">
        <v>2373</v>
      </c>
      <c r="B373" s="80" t="s">
        <v>2360</v>
      </c>
      <c r="C373" s="80">
        <v>3</v>
      </c>
      <c r="D373" s="104">
        <v>0.0005394802789677083</v>
      </c>
      <c r="E373" s="104">
        <v>2.5375042748478873</v>
      </c>
      <c r="F373" s="80" t="s">
        <v>3370</v>
      </c>
      <c r="G373" s="80" t="b">
        <v>1</v>
      </c>
      <c r="H373" s="80" t="b">
        <v>0</v>
      </c>
      <c r="I373" s="80" t="b">
        <v>0</v>
      </c>
      <c r="J373" s="80" t="b">
        <v>0</v>
      </c>
      <c r="K373" s="80" t="b">
        <v>0</v>
      </c>
      <c r="L373" s="80" t="b">
        <v>0</v>
      </c>
    </row>
    <row r="374" spans="1:12" ht="15">
      <c r="A374" s="81" t="s">
        <v>2615</v>
      </c>
      <c r="B374" s="80" t="s">
        <v>2638</v>
      </c>
      <c r="C374" s="80">
        <v>3</v>
      </c>
      <c r="D374" s="104">
        <v>0.0005394802789677083</v>
      </c>
      <c r="E374" s="104">
        <v>3.190716788623231</v>
      </c>
      <c r="F374" s="80" t="s">
        <v>3370</v>
      </c>
      <c r="G374" s="80" t="b">
        <v>0</v>
      </c>
      <c r="H374" s="80" t="b">
        <v>0</v>
      </c>
      <c r="I374" s="80" t="b">
        <v>0</v>
      </c>
      <c r="J374" s="80" t="b">
        <v>0</v>
      </c>
      <c r="K374" s="80" t="b">
        <v>0</v>
      </c>
      <c r="L374" s="80" t="b">
        <v>0</v>
      </c>
    </row>
    <row r="375" spans="1:12" ht="15">
      <c r="A375" s="81" t="s">
        <v>2476</v>
      </c>
      <c r="B375" s="80" t="s">
        <v>2323</v>
      </c>
      <c r="C375" s="80">
        <v>2</v>
      </c>
      <c r="D375" s="104">
        <v>0.00040173028372176515</v>
      </c>
      <c r="E375" s="104">
        <v>2.361413015792206</v>
      </c>
      <c r="F375" s="80" t="s">
        <v>3370</v>
      </c>
      <c r="G375" s="80" t="b">
        <v>0</v>
      </c>
      <c r="H375" s="80" t="b">
        <v>0</v>
      </c>
      <c r="I375" s="80" t="b">
        <v>0</v>
      </c>
      <c r="J375" s="80" t="b">
        <v>0</v>
      </c>
      <c r="K375" s="80" t="b">
        <v>0</v>
      </c>
      <c r="L375" s="80" t="b">
        <v>0</v>
      </c>
    </row>
    <row r="376" spans="1:12" ht="15">
      <c r="A376" s="81" t="s">
        <v>3094</v>
      </c>
      <c r="B376" s="80" t="s">
        <v>2995</v>
      </c>
      <c r="C376" s="80">
        <v>2</v>
      </c>
      <c r="D376" s="104">
        <v>0.00047366098758412623</v>
      </c>
      <c r="E376" s="104">
        <v>3.616685520895512</v>
      </c>
      <c r="F376" s="80" t="s">
        <v>3370</v>
      </c>
      <c r="G376" s="80" t="b">
        <v>0</v>
      </c>
      <c r="H376" s="80" t="b">
        <v>0</v>
      </c>
      <c r="I376" s="80" t="b">
        <v>0</v>
      </c>
      <c r="J376" s="80" t="b">
        <v>0</v>
      </c>
      <c r="K376" s="80" t="b">
        <v>0</v>
      </c>
      <c r="L376" s="80" t="b">
        <v>0</v>
      </c>
    </row>
    <row r="377" spans="1:12" ht="15">
      <c r="A377" s="81" t="s">
        <v>3262</v>
      </c>
      <c r="B377" s="80" t="s">
        <v>2762</v>
      </c>
      <c r="C377" s="80">
        <v>2</v>
      </c>
      <c r="D377" s="104">
        <v>0.00047366098758412623</v>
      </c>
      <c r="E377" s="104">
        <v>3.440594261839831</v>
      </c>
      <c r="F377" s="80" t="s">
        <v>3370</v>
      </c>
      <c r="G377" s="80" t="b">
        <v>0</v>
      </c>
      <c r="H377" s="80" t="b">
        <v>0</v>
      </c>
      <c r="I377" s="80" t="b">
        <v>0</v>
      </c>
      <c r="J377" s="80" t="b">
        <v>0</v>
      </c>
      <c r="K377" s="80" t="b">
        <v>0</v>
      </c>
      <c r="L377" s="80" t="b">
        <v>0</v>
      </c>
    </row>
    <row r="378" spans="1:12" ht="15">
      <c r="A378" s="81" t="s">
        <v>2469</v>
      </c>
      <c r="B378" s="80" t="s">
        <v>3241</v>
      </c>
      <c r="C378" s="80">
        <v>2</v>
      </c>
      <c r="D378" s="104">
        <v>0.00040173028372176515</v>
      </c>
      <c r="E378" s="104">
        <v>3.13956426617585</v>
      </c>
      <c r="F378" s="80" t="s">
        <v>3370</v>
      </c>
      <c r="G378" s="80" t="b">
        <v>0</v>
      </c>
      <c r="H378" s="80" t="b">
        <v>0</v>
      </c>
      <c r="I378" s="80" t="b">
        <v>0</v>
      </c>
      <c r="J378" s="80" t="b">
        <v>1</v>
      </c>
      <c r="K378" s="80" t="b">
        <v>0</v>
      </c>
      <c r="L378" s="80" t="b">
        <v>0</v>
      </c>
    </row>
    <row r="379" spans="1:12" ht="15">
      <c r="A379" s="81" t="s">
        <v>2220</v>
      </c>
      <c r="B379" s="80" t="s">
        <v>3264</v>
      </c>
      <c r="C379" s="80">
        <v>2</v>
      </c>
      <c r="D379" s="104">
        <v>0.00047366098758412623</v>
      </c>
      <c r="E379" s="104">
        <v>2.1542875229965563</v>
      </c>
      <c r="F379" s="80" t="s">
        <v>3370</v>
      </c>
      <c r="G379" s="80" t="b">
        <v>0</v>
      </c>
      <c r="H379" s="80" t="b">
        <v>0</v>
      </c>
      <c r="I379" s="80" t="b">
        <v>0</v>
      </c>
      <c r="J379" s="80" t="b">
        <v>0</v>
      </c>
      <c r="K379" s="80" t="b">
        <v>0</v>
      </c>
      <c r="L379" s="80" t="b">
        <v>0</v>
      </c>
    </row>
    <row r="380" spans="1:12" ht="15">
      <c r="A380" s="81" t="s">
        <v>2472</v>
      </c>
      <c r="B380" s="80" t="s">
        <v>2267</v>
      </c>
      <c r="C380" s="80">
        <v>2</v>
      </c>
      <c r="D380" s="104">
        <v>0.00040173028372176515</v>
      </c>
      <c r="E380" s="104">
        <v>2.185321756736525</v>
      </c>
      <c r="F380" s="80" t="s">
        <v>3370</v>
      </c>
      <c r="G380" s="80" t="b">
        <v>0</v>
      </c>
      <c r="H380" s="80" t="b">
        <v>0</v>
      </c>
      <c r="I380" s="80" t="b">
        <v>0</v>
      </c>
      <c r="J380" s="80" t="b">
        <v>0</v>
      </c>
      <c r="K380" s="80" t="b">
        <v>0</v>
      </c>
      <c r="L380" s="80" t="b">
        <v>0</v>
      </c>
    </row>
    <row r="381" spans="1:12" ht="15">
      <c r="A381" s="81" t="s">
        <v>2213</v>
      </c>
      <c r="B381" s="80" t="s">
        <v>3047</v>
      </c>
      <c r="C381" s="80">
        <v>2</v>
      </c>
      <c r="D381" s="104">
        <v>0.00040173028372176515</v>
      </c>
      <c r="E381" s="104">
        <v>1.7938638755924077</v>
      </c>
      <c r="F381" s="80" t="s">
        <v>3370</v>
      </c>
      <c r="G381" s="80" t="b">
        <v>0</v>
      </c>
      <c r="H381" s="80" t="b">
        <v>0</v>
      </c>
      <c r="I381" s="80" t="b">
        <v>0</v>
      </c>
      <c r="J381" s="80" t="b">
        <v>0</v>
      </c>
      <c r="K381" s="80" t="b">
        <v>0</v>
      </c>
      <c r="L381" s="80" t="b">
        <v>0</v>
      </c>
    </row>
    <row r="382" spans="1:12" ht="15">
      <c r="A382" s="81" t="s">
        <v>2705</v>
      </c>
      <c r="B382" s="80" t="s">
        <v>3302</v>
      </c>
      <c r="C382" s="80">
        <v>2</v>
      </c>
      <c r="D382" s="104">
        <v>0.00040173028372176515</v>
      </c>
      <c r="E382" s="104">
        <v>3.440594261839831</v>
      </c>
      <c r="F382" s="80" t="s">
        <v>3370</v>
      </c>
      <c r="G382" s="80" t="b">
        <v>0</v>
      </c>
      <c r="H382" s="80" t="b">
        <v>0</v>
      </c>
      <c r="I382" s="80" t="b">
        <v>0</v>
      </c>
      <c r="J382" s="80" t="b">
        <v>0</v>
      </c>
      <c r="K382" s="80" t="b">
        <v>0</v>
      </c>
      <c r="L382" s="80" t="b">
        <v>0</v>
      </c>
    </row>
    <row r="383" spans="1:12" ht="15">
      <c r="A383" s="81" t="s">
        <v>2397</v>
      </c>
      <c r="B383" s="80" t="s">
        <v>2276</v>
      </c>
      <c r="C383" s="80">
        <v>2</v>
      </c>
      <c r="D383" s="104">
        <v>0.00040173028372176515</v>
      </c>
      <c r="E383" s="104">
        <v>2.169527489553293</v>
      </c>
      <c r="F383" s="80" t="s">
        <v>3370</v>
      </c>
      <c r="G383" s="80" t="b">
        <v>0</v>
      </c>
      <c r="H383" s="80" t="b">
        <v>0</v>
      </c>
      <c r="I383" s="80" t="b">
        <v>0</v>
      </c>
      <c r="J383" s="80" t="b">
        <v>0</v>
      </c>
      <c r="K383" s="80" t="b">
        <v>0</v>
      </c>
      <c r="L383" s="80" t="b">
        <v>0</v>
      </c>
    </row>
    <row r="384" spans="1:12" ht="15">
      <c r="A384" s="81" t="s">
        <v>2214</v>
      </c>
      <c r="B384" s="80" t="s">
        <v>2234</v>
      </c>
      <c r="C384" s="80">
        <v>2</v>
      </c>
      <c r="D384" s="104">
        <v>0.00040173028372176515</v>
      </c>
      <c r="E384" s="104">
        <v>0.6994426629880459</v>
      </c>
      <c r="F384" s="80" t="s">
        <v>3370</v>
      </c>
      <c r="G384" s="80" t="b">
        <v>0</v>
      </c>
      <c r="H384" s="80" t="b">
        <v>0</v>
      </c>
      <c r="I384" s="80" t="b">
        <v>0</v>
      </c>
      <c r="J384" s="80" t="b">
        <v>0</v>
      </c>
      <c r="K384" s="80" t="b">
        <v>0</v>
      </c>
      <c r="L384" s="80" t="b">
        <v>0</v>
      </c>
    </row>
    <row r="385" spans="1:12" ht="15">
      <c r="A385" s="81" t="s">
        <v>2325</v>
      </c>
      <c r="B385" s="80" t="s">
        <v>3277</v>
      </c>
      <c r="C385" s="80">
        <v>2</v>
      </c>
      <c r="D385" s="104">
        <v>0.00040173028372176515</v>
      </c>
      <c r="E385" s="104">
        <v>2.8385342705118686</v>
      </c>
      <c r="F385" s="80" t="s">
        <v>3370</v>
      </c>
      <c r="G385" s="80" t="b">
        <v>0</v>
      </c>
      <c r="H385" s="80" t="b">
        <v>0</v>
      </c>
      <c r="I385" s="80" t="b">
        <v>0</v>
      </c>
      <c r="J385" s="80" t="b">
        <v>0</v>
      </c>
      <c r="K385" s="80" t="b">
        <v>0</v>
      </c>
      <c r="L385" s="80" t="b">
        <v>0</v>
      </c>
    </row>
    <row r="386" spans="1:12" ht="15">
      <c r="A386" s="81" t="s">
        <v>2329</v>
      </c>
      <c r="B386" s="80" t="s">
        <v>2236</v>
      </c>
      <c r="C386" s="80">
        <v>2</v>
      </c>
      <c r="D386" s="104">
        <v>0.00040173028372176515</v>
      </c>
      <c r="E386" s="104">
        <v>1.6344142878559438</v>
      </c>
      <c r="F386" s="80" t="s">
        <v>3370</v>
      </c>
      <c r="G386" s="80" t="b">
        <v>0</v>
      </c>
      <c r="H386" s="80" t="b">
        <v>0</v>
      </c>
      <c r="I386" s="80" t="b">
        <v>0</v>
      </c>
      <c r="J386" s="80" t="b">
        <v>0</v>
      </c>
      <c r="K386" s="80" t="b">
        <v>0</v>
      </c>
      <c r="L386" s="80" t="b">
        <v>0</v>
      </c>
    </row>
    <row r="387" spans="1:12" ht="15">
      <c r="A387" s="81" t="s">
        <v>2215</v>
      </c>
      <c r="B387" s="80" t="s">
        <v>3238</v>
      </c>
      <c r="C387" s="80">
        <v>2</v>
      </c>
      <c r="D387" s="104">
        <v>0.00040173028372176515</v>
      </c>
      <c r="E387" s="104">
        <v>1.9586741242383998</v>
      </c>
      <c r="F387" s="80" t="s">
        <v>3370</v>
      </c>
      <c r="G387" s="80" t="b">
        <v>0</v>
      </c>
      <c r="H387" s="80" t="b">
        <v>0</v>
      </c>
      <c r="I387" s="80" t="b">
        <v>0</v>
      </c>
      <c r="J387" s="80" t="b">
        <v>0</v>
      </c>
      <c r="K387" s="80" t="b">
        <v>0</v>
      </c>
      <c r="L387" s="80" t="b">
        <v>0</v>
      </c>
    </row>
    <row r="388" spans="1:12" ht="15">
      <c r="A388" s="81" t="s">
        <v>2570</v>
      </c>
      <c r="B388" s="80" t="s">
        <v>2230</v>
      </c>
      <c r="C388" s="80">
        <v>2</v>
      </c>
      <c r="D388" s="104">
        <v>0.00047366098758412623</v>
      </c>
      <c r="E388" s="104">
        <v>1.9069916511677203</v>
      </c>
      <c r="F388" s="80" t="s">
        <v>3370</v>
      </c>
      <c r="G388" s="80" t="b">
        <v>0</v>
      </c>
      <c r="H388" s="80" t="b">
        <v>0</v>
      </c>
      <c r="I388" s="80" t="b">
        <v>0</v>
      </c>
      <c r="J388" s="80" t="b">
        <v>0</v>
      </c>
      <c r="K388" s="80" t="b">
        <v>0</v>
      </c>
      <c r="L388" s="80" t="b">
        <v>0</v>
      </c>
    </row>
    <row r="389" spans="1:12" ht="15">
      <c r="A389" s="81" t="s">
        <v>2797</v>
      </c>
      <c r="B389" s="80" t="s">
        <v>2269</v>
      </c>
      <c r="C389" s="80">
        <v>2</v>
      </c>
      <c r="D389" s="104">
        <v>0.00047366098758412623</v>
      </c>
      <c r="E389" s="104">
        <v>2.5111753361255382</v>
      </c>
      <c r="F389" s="80" t="s">
        <v>3370</v>
      </c>
      <c r="G389" s="80" t="b">
        <v>0</v>
      </c>
      <c r="H389" s="80" t="b">
        <v>0</v>
      </c>
      <c r="I389" s="80" t="b">
        <v>0</v>
      </c>
      <c r="J389" s="80" t="b">
        <v>0</v>
      </c>
      <c r="K389" s="80" t="b">
        <v>0</v>
      </c>
      <c r="L389" s="80" t="b">
        <v>0</v>
      </c>
    </row>
    <row r="390" spans="1:12" ht="15">
      <c r="A390" s="81" t="s">
        <v>2420</v>
      </c>
      <c r="B390" s="80" t="s">
        <v>3090</v>
      </c>
      <c r="C390" s="80">
        <v>2</v>
      </c>
      <c r="D390" s="104">
        <v>0.00040173028372176515</v>
      </c>
      <c r="E390" s="104">
        <v>3.0726174765452368</v>
      </c>
      <c r="F390" s="80" t="s">
        <v>3370</v>
      </c>
      <c r="G390" s="80" t="b">
        <v>0</v>
      </c>
      <c r="H390" s="80" t="b">
        <v>0</v>
      </c>
      <c r="I390" s="80" t="b">
        <v>0</v>
      </c>
      <c r="J390" s="80" t="b">
        <v>0</v>
      </c>
      <c r="K390" s="80" t="b">
        <v>0</v>
      </c>
      <c r="L390" s="80" t="b">
        <v>0</v>
      </c>
    </row>
    <row r="391" spans="1:12" ht="15">
      <c r="A391" s="81" t="s">
        <v>2235</v>
      </c>
      <c r="B391" s="80" t="s">
        <v>3080</v>
      </c>
      <c r="C391" s="80">
        <v>2</v>
      </c>
      <c r="D391" s="104">
        <v>0.00040173028372176515</v>
      </c>
      <c r="E391" s="104">
        <v>2.4125655382395874</v>
      </c>
      <c r="F391" s="80" t="s">
        <v>3370</v>
      </c>
      <c r="G391" s="80" t="b">
        <v>0</v>
      </c>
      <c r="H391" s="80" t="b">
        <v>0</v>
      </c>
      <c r="I391" s="80" t="b">
        <v>0</v>
      </c>
      <c r="J391" s="80" t="b">
        <v>0</v>
      </c>
      <c r="K391" s="80" t="b">
        <v>0</v>
      </c>
      <c r="L391" s="80" t="b">
        <v>0</v>
      </c>
    </row>
    <row r="392" spans="1:12" ht="15">
      <c r="A392" s="81" t="s">
        <v>2596</v>
      </c>
      <c r="B392" s="80" t="s">
        <v>2397</v>
      </c>
      <c r="C392" s="80">
        <v>2</v>
      </c>
      <c r="D392" s="104">
        <v>0.00047366098758412623</v>
      </c>
      <c r="E392" s="104">
        <v>2.7715874808812555</v>
      </c>
      <c r="F392" s="80" t="s">
        <v>3370</v>
      </c>
      <c r="G392" s="80" t="b">
        <v>0</v>
      </c>
      <c r="H392" s="80" t="b">
        <v>0</v>
      </c>
      <c r="I392" s="80" t="b">
        <v>0</v>
      </c>
      <c r="J392" s="80" t="b">
        <v>0</v>
      </c>
      <c r="K392" s="80" t="b">
        <v>0</v>
      </c>
      <c r="L392" s="80" t="b">
        <v>0</v>
      </c>
    </row>
    <row r="393" spans="1:12" ht="15">
      <c r="A393" s="81" t="s">
        <v>2224</v>
      </c>
      <c r="B393" s="80" t="s">
        <v>2420</v>
      </c>
      <c r="C393" s="80">
        <v>2</v>
      </c>
      <c r="D393" s="104">
        <v>0.00040173028372176515</v>
      </c>
      <c r="E393" s="104">
        <v>1.674677467873199</v>
      </c>
      <c r="F393" s="80" t="s">
        <v>3370</v>
      </c>
      <c r="G393" s="80" t="b">
        <v>0</v>
      </c>
      <c r="H393" s="80" t="b">
        <v>0</v>
      </c>
      <c r="I393" s="80" t="b">
        <v>0</v>
      </c>
      <c r="J393" s="80" t="b">
        <v>0</v>
      </c>
      <c r="K393" s="80" t="b">
        <v>0</v>
      </c>
      <c r="L393" s="80" t="b">
        <v>0</v>
      </c>
    </row>
    <row r="394" spans="1:12" ht="15">
      <c r="A394" s="81" t="s">
        <v>2440</v>
      </c>
      <c r="B394" s="80" t="s">
        <v>2908</v>
      </c>
      <c r="C394" s="80">
        <v>2</v>
      </c>
      <c r="D394" s="104">
        <v>0.00047366098758412623</v>
      </c>
      <c r="E394" s="104">
        <v>3.13956426617585</v>
      </c>
      <c r="F394" s="80" t="s">
        <v>3370</v>
      </c>
      <c r="G394" s="80" t="b">
        <v>0</v>
      </c>
      <c r="H394" s="80" t="b">
        <v>0</v>
      </c>
      <c r="I394" s="80" t="b">
        <v>0</v>
      </c>
      <c r="J394" s="80" t="b">
        <v>0</v>
      </c>
      <c r="K394" s="80" t="b">
        <v>0</v>
      </c>
      <c r="L394" s="80" t="b">
        <v>0</v>
      </c>
    </row>
    <row r="395" spans="1:12" ht="15">
      <c r="A395" s="81" t="s">
        <v>2349</v>
      </c>
      <c r="B395" s="80" t="s">
        <v>2376</v>
      </c>
      <c r="C395" s="80">
        <v>2</v>
      </c>
      <c r="D395" s="104">
        <v>0.00047366098758412623</v>
      </c>
      <c r="E395" s="104">
        <v>2.315655525231531</v>
      </c>
      <c r="F395" s="80" t="s">
        <v>3370</v>
      </c>
      <c r="G395" s="80" t="b">
        <v>0</v>
      </c>
      <c r="H395" s="80" t="b">
        <v>0</v>
      </c>
      <c r="I395" s="80" t="b">
        <v>0</v>
      </c>
      <c r="J395" s="80" t="b">
        <v>0</v>
      </c>
      <c r="K395" s="80" t="b">
        <v>0</v>
      </c>
      <c r="L395" s="80" t="b">
        <v>0</v>
      </c>
    </row>
    <row r="396" spans="1:12" ht="15">
      <c r="A396" s="81" t="s">
        <v>3348</v>
      </c>
      <c r="B396" s="80" t="s">
        <v>2754</v>
      </c>
      <c r="C396" s="80">
        <v>2</v>
      </c>
      <c r="D396" s="104">
        <v>0.00047366098758412623</v>
      </c>
      <c r="E396" s="104">
        <v>3.440594261839831</v>
      </c>
      <c r="F396" s="80" t="s">
        <v>3370</v>
      </c>
      <c r="G396" s="80" t="b">
        <v>0</v>
      </c>
      <c r="H396" s="80" t="b">
        <v>0</v>
      </c>
      <c r="I396" s="80" t="b">
        <v>0</v>
      </c>
      <c r="J396" s="80" t="b">
        <v>0</v>
      </c>
      <c r="K396" s="80" t="b">
        <v>0</v>
      </c>
      <c r="L396" s="80" t="b">
        <v>0</v>
      </c>
    </row>
    <row r="397" spans="1:12" ht="15">
      <c r="A397" s="81" t="s">
        <v>2446</v>
      </c>
      <c r="B397" s="80" t="s">
        <v>2839</v>
      </c>
      <c r="C397" s="80">
        <v>2</v>
      </c>
      <c r="D397" s="104">
        <v>0.00047366098758412623</v>
      </c>
      <c r="E397" s="104">
        <v>2.9634730071201685</v>
      </c>
      <c r="F397" s="80" t="s">
        <v>3370</v>
      </c>
      <c r="G397" s="80" t="b">
        <v>0</v>
      </c>
      <c r="H397" s="80" t="b">
        <v>0</v>
      </c>
      <c r="I397" s="80" t="b">
        <v>0</v>
      </c>
      <c r="J397" s="80" t="b">
        <v>0</v>
      </c>
      <c r="K397" s="80" t="b">
        <v>0</v>
      </c>
      <c r="L397" s="80" t="b">
        <v>0</v>
      </c>
    </row>
    <row r="398" spans="1:12" ht="15">
      <c r="A398" s="81" t="s">
        <v>2978</v>
      </c>
      <c r="B398" s="80" t="s">
        <v>3254</v>
      </c>
      <c r="C398" s="80">
        <v>2</v>
      </c>
      <c r="D398" s="104">
        <v>0.00040173028372176515</v>
      </c>
      <c r="E398" s="104">
        <v>3.616685520895512</v>
      </c>
      <c r="F398" s="80" t="s">
        <v>3370</v>
      </c>
      <c r="G398" s="80" t="b">
        <v>0</v>
      </c>
      <c r="H398" s="80" t="b">
        <v>0</v>
      </c>
      <c r="I398" s="80" t="b">
        <v>0</v>
      </c>
      <c r="J398" s="80" t="b">
        <v>0</v>
      </c>
      <c r="K398" s="80" t="b">
        <v>0</v>
      </c>
      <c r="L398" s="80" t="b">
        <v>0</v>
      </c>
    </row>
    <row r="399" spans="1:12" ht="15">
      <c r="A399" s="81" t="s">
        <v>2247</v>
      </c>
      <c r="B399" s="80" t="s">
        <v>2221</v>
      </c>
      <c r="C399" s="80">
        <v>2</v>
      </c>
      <c r="D399" s="104">
        <v>0.00040173028372176515</v>
      </c>
      <c r="E399" s="104">
        <v>1.0965296339506478</v>
      </c>
      <c r="F399" s="80" t="s">
        <v>3370</v>
      </c>
      <c r="G399" s="80" t="b">
        <v>0</v>
      </c>
      <c r="H399" s="80" t="b">
        <v>0</v>
      </c>
      <c r="I399" s="80" t="b">
        <v>0</v>
      </c>
      <c r="J399" s="80" t="b">
        <v>0</v>
      </c>
      <c r="K399" s="80" t="b">
        <v>0</v>
      </c>
      <c r="L399" s="80" t="b">
        <v>0</v>
      </c>
    </row>
    <row r="400" spans="1:12" ht="15">
      <c r="A400" s="81" t="s">
        <v>3277</v>
      </c>
      <c r="B400" s="80" t="s">
        <v>3012</v>
      </c>
      <c r="C400" s="80">
        <v>2</v>
      </c>
      <c r="D400" s="104">
        <v>0.00040173028372176515</v>
      </c>
      <c r="E400" s="104">
        <v>3.616685520895512</v>
      </c>
      <c r="F400" s="80" t="s">
        <v>3370</v>
      </c>
      <c r="G400" s="80" t="b">
        <v>0</v>
      </c>
      <c r="H400" s="80" t="b">
        <v>0</v>
      </c>
      <c r="I400" s="80" t="b">
        <v>0</v>
      </c>
      <c r="J400" s="80" t="b">
        <v>0</v>
      </c>
      <c r="K400" s="80" t="b">
        <v>0</v>
      </c>
      <c r="L400" s="80" t="b">
        <v>0</v>
      </c>
    </row>
    <row r="401" spans="1:12" ht="15">
      <c r="A401" s="81" t="s">
        <v>2242</v>
      </c>
      <c r="B401" s="80" t="s">
        <v>2213</v>
      </c>
      <c r="C401" s="80">
        <v>2</v>
      </c>
      <c r="D401" s="104">
        <v>0.00040173028372176515</v>
      </c>
      <c r="E401" s="104">
        <v>0.7146826295447828</v>
      </c>
      <c r="F401" s="80" t="s">
        <v>3370</v>
      </c>
      <c r="G401" s="80" t="b">
        <v>0</v>
      </c>
      <c r="H401" s="80" t="b">
        <v>0</v>
      </c>
      <c r="I401" s="80" t="b">
        <v>0</v>
      </c>
      <c r="J401" s="80" t="b">
        <v>0</v>
      </c>
      <c r="K401" s="80" t="b">
        <v>0</v>
      </c>
      <c r="L401" s="80" t="b">
        <v>0</v>
      </c>
    </row>
    <row r="402" spans="1:12" ht="15">
      <c r="A402" s="81" t="s">
        <v>2413</v>
      </c>
      <c r="B402" s="80" t="s">
        <v>2870</v>
      </c>
      <c r="C402" s="80">
        <v>2</v>
      </c>
      <c r="D402" s="104">
        <v>0.00047366098758412623</v>
      </c>
      <c r="E402" s="104">
        <v>2.8965262174895554</v>
      </c>
      <c r="F402" s="80" t="s">
        <v>3370</v>
      </c>
      <c r="G402" s="80" t="b">
        <v>0</v>
      </c>
      <c r="H402" s="80" t="b">
        <v>0</v>
      </c>
      <c r="I402" s="80" t="b">
        <v>0</v>
      </c>
      <c r="J402" s="80" t="b">
        <v>0</v>
      </c>
      <c r="K402" s="80" t="b">
        <v>0</v>
      </c>
      <c r="L402" s="80" t="b">
        <v>0</v>
      </c>
    </row>
    <row r="403" spans="1:12" ht="15">
      <c r="A403" s="81" t="s">
        <v>2670</v>
      </c>
      <c r="B403" s="80" t="s">
        <v>3181</v>
      </c>
      <c r="C403" s="80">
        <v>2</v>
      </c>
      <c r="D403" s="104">
        <v>0.00040173028372176515</v>
      </c>
      <c r="E403" s="104">
        <v>3.315655525231531</v>
      </c>
      <c r="F403" s="80" t="s">
        <v>3370</v>
      </c>
      <c r="G403" s="80" t="b">
        <v>0</v>
      </c>
      <c r="H403" s="80" t="b">
        <v>0</v>
      </c>
      <c r="I403" s="80" t="b">
        <v>0</v>
      </c>
      <c r="J403" s="80" t="b">
        <v>0</v>
      </c>
      <c r="K403" s="80" t="b">
        <v>0</v>
      </c>
      <c r="L403" s="80" t="b">
        <v>0</v>
      </c>
    </row>
    <row r="404" spans="1:12" ht="15">
      <c r="A404" s="81" t="s">
        <v>2412</v>
      </c>
      <c r="B404" s="80" t="s">
        <v>2700</v>
      </c>
      <c r="C404" s="80">
        <v>2</v>
      </c>
      <c r="D404" s="104">
        <v>0.00040173028372176515</v>
      </c>
      <c r="E404" s="104">
        <v>2.8965262174895554</v>
      </c>
      <c r="F404" s="80" t="s">
        <v>3370</v>
      </c>
      <c r="G404" s="80" t="b">
        <v>0</v>
      </c>
      <c r="H404" s="80" t="b">
        <v>0</v>
      </c>
      <c r="I404" s="80" t="b">
        <v>0</v>
      </c>
      <c r="J404" s="80" t="b">
        <v>0</v>
      </c>
      <c r="K404" s="80" t="b">
        <v>0</v>
      </c>
      <c r="L404" s="80" t="b">
        <v>0</v>
      </c>
    </row>
    <row r="405" spans="1:12" ht="15">
      <c r="A405" s="81" t="s">
        <v>3253</v>
      </c>
      <c r="B405" s="80" t="s">
        <v>2309</v>
      </c>
      <c r="C405" s="80">
        <v>2</v>
      </c>
      <c r="D405" s="104">
        <v>0.00040173028372176515</v>
      </c>
      <c r="E405" s="104">
        <v>2.8037721642526567</v>
      </c>
      <c r="F405" s="80" t="s">
        <v>3370</v>
      </c>
      <c r="G405" s="80" t="b">
        <v>0</v>
      </c>
      <c r="H405" s="80" t="b">
        <v>0</v>
      </c>
      <c r="I405" s="80" t="b">
        <v>0</v>
      </c>
      <c r="J405" s="80" t="b">
        <v>0</v>
      </c>
      <c r="K405" s="80" t="b">
        <v>0</v>
      </c>
      <c r="L405" s="80" t="b">
        <v>0</v>
      </c>
    </row>
    <row r="406" spans="1:12" ht="15">
      <c r="A406" s="81" t="s">
        <v>2241</v>
      </c>
      <c r="B406" s="80" t="s">
        <v>2423</v>
      </c>
      <c r="C406" s="80">
        <v>2</v>
      </c>
      <c r="D406" s="104">
        <v>0.00040173028372176515</v>
      </c>
      <c r="E406" s="104">
        <v>1.9264894408669986</v>
      </c>
      <c r="F406" s="80" t="s">
        <v>3370</v>
      </c>
      <c r="G406" s="80" t="b">
        <v>0</v>
      </c>
      <c r="H406" s="80" t="b">
        <v>0</v>
      </c>
      <c r="I406" s="80" t="b">
        <v>0</v>
      </c>
      <c r="J406" s="80" t="b">
        <v>0</v>
      </c>
      <c r="K406" s="80" t="b">
        <v>0</v>
      </c>
      <c r="L406" s="80" t="b">
        <v>0</v>
      </c>
    </row>
    <row r="407" spans="1:12" ht="15">
      <c r="A407" s="81" t="s">
        <v>2715</v>
      </c>
      <c r="B407" s="80" t="s">
        <v>2238</v>
      </c>
      <c r="C407" s="80">
        <v>2</v>
      </c>
      <c r="D407" s="104">
        <v>0.00040173028372176515</v>
      </c>
      <c r="E407" s="104">
        <v>2.2502625636695397</v>
      </c>
      <c r="F407" s="80" t="s">
        <v>3370</v>
      </c>
      <c r="G407" s="80" t="b">
        <v>0</v>
      </c>
      <c r="H407" s="80" t="b">
        <v>0</v>
      </c>
      <c r="I407" s="80" t="b">
        <v>0</v>
      </c>
      <c r="J407" s="80" t="b">
        <v>0</v>
      </c>
      <c r="K407" s="80" t="b">
        <v>0</v>
      </c>
      <c r="L407" s="80" t="b">
        <v>0</v>
      </c>
    </row>
    <row r="408" spans="1:12" ht="15">
      <c r="A408" s="81" t="s">
        <v>2219</v>
      </c>
      <c r="B408" s="80" t="s">
        <v>2214</v>
      </c>
      <c r="C408" s="80">
        <v>2</v>
      </c>
      <c r="D408" s="104">
        <v>0.00047366098758412623</v>
      </c>
      <c r="E408" s="104">
        <v>0.3909886492448579</v>
      </c>
      <c r="F408" s="80" t="s">
        <v>3370</v>
      </c>
      <c r="G408" s="80" t="b">
        <v>0</v>
      </c>
      <c r="H408" s="80" t="b">
        <v>0</v>
      </c>
      <c r="I408" s="80" t="b">
        <v>0</v>
      </c>
      <c r="J408" s="80" t="b">
        <v>0</v>
      </c>
      <c r="K408" s="80" t="b">
        <v>0</v>
      </c>
      <c r="L408" s="80" t="b">
        <v>0</v>
      </c>
    </row>
    <row r="409" spans="1:12" ht="15">
      <c r="A409" s="81" t="s">
        <v>2240</v>
      </c>
      <c r="B409" s="80" t="s">
        <v>2444</v>
      </c>
      <c r="C409" s="80">
        <v>2</v>
      </c>
      <c r="D409" s="104">
        <v>0.00040173028372176515</v>
      </c>
      <c r="E409" s="104">
        <v>2.0603830201282247</v>
      </c>
      <c r="F409" s="80" t="s">
        <v>3370</v>
      </c>
      <c r="G409" s="80" t="b">
        <v>0</v>
      </c>
      <c r="H409" s="80" t="b">
        <v>0</v>
      </c>
      <c r="I409" s="80" t="b">
        <v>0</v>
      </c>
      <c r="J409" s="80" t="b">
        <v>0</v>
      </c>
      <c r="K409" s="80" t="b">
        <v>0</v>
      </c>
      <c r="L409" s="80" t="b">
        <v>0</v>
      </c>
    </row>
    <row r="410" spans="1:12" ht="15">
      <c r="A410" s="81" t="s">
        <v>2332</v>
      </c>
      <c r="B410" s="80" t="s">
        <v>2411</v>
      </c>
      <c r="C410" s="80">
        <v>2</v>
      </c>
      <c r="D410" s="104">
        <v>0.00040173028372176515</v>
      </c>
      <c r="E410" s="104">
        <v>2.3322547870509927</v>
      </c>
      <c r="F410" s="80" t="s">
        <v>3370</v>
      </c>
      <c r="G410" s="80" t="b">
        <v>0</v>
      </c>
      <c r="H410" s="80" t="b">
        <v>0</v>
      </c>
      <c r="I410" s="80" t="b">
        <v>0</v>
      </c>
      <c r="J410" s="80" t="b">
        <v>0</v>
      </c>
      <c r="K410" s="80" t="b">
        <v>0</v>
      </c>
      <c r="L410" s="80" t="b">
        <v>0</v>
      </c>
    </row>
    <row r="411" spans="1:12" ht="15">
      <c r="A411" s="81" t="s">
        <v>2841</v>
      </c>
      <c r="B411" s="80" t="s">
        <v>2291</v>
      </c>
      <c r="C411" s="80">
        <v>2</v>
      </c>
      <c r="D411" s="104">
        <v>0.00040173028372176515</v>
      </c>
      <c r="E411" s="104">
        <v>2.595496221825574</v>
      </c>
      <c r="F411" s="80" t="s">
        <v>3370</v>
      </c>
      <c r="G411" s="80" t="b">
        <v>0</v>
      </c>
      <c r="H411" s="80" t="b">
        <v>0</v>
      </c>
      <c r="I411" s="80" t="b">
        <v>0</v>
      </c>
      <c r="J411" s="80" t="b">
        <v>0</v>
      </c>
      <c r="K411" s="80" t="b">
        <v>0</v>
      </c>
      <c r="L411" s="80" t="b">
        <v>0</v>
      </c>
    </row>
    <row r="412" spans="1:12" ht="15">
      <c r="A412" s="81" t="s">
        <v>2807</v>
      </c>
      <c r="B412" s="80" t="s">
        <v>3093</v>
      </c>
      <c r="C412" s="80">
        <v>2</v>
      </c>
      <c r="D412" s="104">
        <v>0.00047366098758412623</v>
      </c>
      <c r="E412" s="104">
        <v>3.440594261839831</v>
      </c>
      <c r="F412" s="80" t="s">
        <v>3370</v>
      </c>
      <c r="G412" s="80" t="b">
        <v>0</v>
      </c>
      <c r="H412" s="80" t="b">
        <v>0</v>
      </c>
      <c r="I412" s="80" t="b">
        <v>0</v>
      </c>
      <c r="J412" s="80" t="b">
        <v>0</v>
      </c>
      <c r="K412" s="80" t="b">
        <v>0</v>
      </c>
      <c r="L412" s="80" t="b">
        <v>0</v>
      </c>
    </row>
    <row r="413" spans="1:12" ht="15">
      <c r="A413" s="81" t="s">
        <v>2221</v>
      </c>
      <c r="B413" s="80" t="s">
        <v>2281</v>
      </c>
      <c r="C413" s="80">
        <v>2</v>
      </c>
      <c r="D413" s="104">
        <v>0.00040173028372176515</v>
      </c>
      <c r="E413" s="104">
        <v>1.3183783835670042</v>
      </c>
      <c r="F413" s="80" t="s">
        <v>3370</v>
      </c>
      <c r="G413" s="80" t="b">
        <v>0</v>
      </c>
      <c r="H413" s="80" t="b">
        <v>0</v>
      </c>
      <c r="I413" s="80" t="b">
        <v>0</v>
      </c>
      <c r="J413" s="80" t="b">
        <v>0</v>
      </c>
      <c r="K413" s="80" t="b">
        <v>0</v>
      </c>
      <c r="L413" s="80" t="b">
        <v>0</v>
      </c>
    </row>
    <row r="414" spans="1:12" ht="15">
      <c r="A414" s="81" t="s">
        <v>2270</v>
      </c>
      <c r="B414" s="80" t="s">
        <v>2825</v>
      </c>
      <c r="C414" s="80">
        <v>2</v>
      </c>
      <c r="D414" s="104">
        <v>0.00040173028372176515</v>
      </c>
      <c r="E414" s="104">
        <v>2.5111753361255382</v>
      </c>
      <c r="F414" s="80" t="s">
        <v>3370</v>
      </c>
      <c r="G414" s="80" t="b">
        <v>0</v>
      </c>
      <c r="H414" s="80" t="b">
        <v>0</v>
      </c>
      <c r="I414" s="80" t="b">
        <v>0</v>
      </c>
      <c r="J414" s="80" t="b">
        <v>0</v>
      </c>
      <c r="K414" s="80" t="b">
        <v>0</v>
      </c>
      <c r="L414" s="80" t="b">
        <v>0</v>
      </c>
    </row>
    <row r="415" spans="1:12" ht="15">
      <c r="A415" s="81" t="s">
        <v>2945</v>
      </c>
      <c r="B415" s="80" t="s">
        <v>2660</v>
      </c>
      <c r="C415" s="80">
        <v>2</v>
      </c>
      <c r="D415" s="104">
        <v>0.00047366098758412623</v>
      </c>
      <c r="E415" s="104">
        <v>3.315655525231531</v>
      </c>
      <c r="F415" s="80" t="s">
        <v>3370</v>
      </c>
      <c r="G415" s="80" t="b">
        <v>0</v>
      </c>
      <c r="H415" s="80" t="b">
        <v>0</v>
      </c>
      <c r="I415" s="80" t="b">
        <v>0</v>
      </c>
      <c r="J415" s="80" t="b">
        <v>1</v>
      </c>
      <c r="K415" s="80" t="b">
        <v>0</v>
      </c>
      <c r="L415" s="80" t="b">
        <v>0</v>
      </c>
    </row>
    <row r="416" spans="1:12" ht="15">
      <c r="A416" s="81" t="s">
        <v>2222</v>
      </c>
      <c r="B416" s="80" t="s">
        <v>2348</v>
      </c>
      <c r="C416" s="80">
        <v>2</v>
      </c>
      <c r="D416" s="104">
        <v>0.00040173028372176515</v>
      </c>
      <c r="E416" s="104">
        <v>1.5197755078874557</v>
      </c>
      <c r="F416" s="80" t="s">
        <v>3370</v>
      </c>
      <c r="G416" s="80" t="b">
        <v>0</v>
      </c>
      <c r="H416" s="80" t="b">
        <v>0</v>
      </c>
      <c r="I416" s="80" t="b">
        <v>0</v>
      </c>
      <c r="J416" s="80" t="b">
        <v>0</v>
      </c>
      <c r="K416" s="80" t="b">
        <v>0</v>
      </c>
      <c r="L416" s="80" t="b">
        <v>0</v>
      </c>
    </row>
    <row r="417" spans="1:12" ht="15">
      <c r="A417" s="81" t="s">
        <v>2948</v>
      </c>
      <c r="B417" s="80" t="s">
        <v>2869</v>
      </c>
      <c r="C417" s="80">
        <v>2</v>
      </c>
      <c r="D417" s="104">
        <v>0.00040173028372176515</v>
      </c>
      <c r="E417" s="104">
        <v>3.440594261839831</v>
      </c>
      <c r="F417" s="80" t="s">
        <v>3370</v>
      </c>
      <c r="G417" s="80" t="b">
        <v>0</v>
      </c>
      <c r="H417" s="80" t="b">
        <v>0</v>
      </c>
      <c r="I417" s="80" t="b">
        <v>0</v>
      </c>
      <c r="J417" s="80" t="b">
        <v>0</v>
      </c>
      <c r="K417" s="80" t="b">
        <v>0</v>
      </c>
      <c r="L417" s="80" t="b">
        <v>0</v>
      </c>
    </row>
    <row r="418" spans="1:12" ht="15">
      <c r="A418" s="81" t="s">
        <v>2616</v>
      </c>
      <c r="B418" s="80" t="s">
        <v>3343</v>
      </c>
      <c r="C418" s="80">
        <v>2</v>
      </c>
      <c r="D418" s="104">
        <v>0.00040173028372176515</v>
      </c>
      <c r="E418" s="104">
        <v>3.315655525231531</v>
      </c>
      <c r="F418" s="80" t="s">
        <v>3370</v>
      </c>
      <c r="G418" s="80" t="b">
        <v>0</v>
      </c>
      <c r="H418" s="80" t="b">
        <v>0</v>
      </c>
      <c r="I418" s="80" t="b">
        <v>0</v>
      </c>
      <c r="J418" s="80" t="b">
        <v>0</v>
      </c>
      <c r="K418" s="80" t="b">
        <v>0</v>
      </c>
      <c r="L418" s="80" t="b">
        <v>0</v>
      </c>
    </row>
    <row r="419" spans="1:12" ht="15">
      <c r="A419" s="81" t="s">
        <v>2991</v>
      </c>
      <c r="B419" s="80" t="s">
        <v>3253</v>
      </c>
      <c r="C419" s="80">
        <v>2</v>
      </c>
      <c r="D419" s="104">
        <v>0.00040173028372176515</v>
      </c>
      <c r="E419" s="104">
        <v>3.616685520895512</v>
      </c>
      <c r="F419" s="80" t="s">
        <v>3370</v>
      </c>
      <c r="G419" s="80" t="b">
        <v>0</v>
      </c>
      <c r="H419" s="80" t="b">
        <v>0</v>
      </c>
      <c r="I419" s="80" t="b">
        <v>0</v>
      </c>
      <c r="J419" s="80" t="b">
        <v>0</v>
      </c>
      <c r="K419" s="80" t="b">
        <v>0</v>
      </c>
      <c r="L419" s="80" t="b">
        <v>0</v>
      </c>
    </row>
    <row r="420" spans="1:12" ht="15">
      <c r="A420" s="81" t="s">
        <v>3039</v>
      </c>
      <c r="B420" s="80" t="s">
        <v>3255</v>
      </c>
      <c r="C420" s="80">
        <v>2</v>
      </c>
      <c r="D420" s="104">
        <v>0.00047366098758412623</v>
      </c>
      <c r="E420" s="104">
        <v>3.616685520895512</v>
      </c>
      <c r="F420" s="80" t="s">
        <v>3370</v>
      </c>
      <c r="G420" s="80" t="b">
        <v>0</v>
      </c>
      <c r="H420" s="80" t="b">
        <v>0</v>
      </c>
      <c r="I420" s="80" t="b">
        <v>0</v>
      </c>
      <c r="J420" s="80" t="b">
        <v>0</v>
      </c>
      <c r="K420" s="80" t="b">
        <v>0</v>
      </c>
      <c r="L420" s="80" t="b">
        <v>0</v>
      </c>
    </row>
    <row r="421" spans="1:12" ht="15">
      <c r="A421" s="81" t="s">
        <v>2779</v>
      </c>
      <c r="B421" s="80" t="s">
        <v>2857</v>
      </c>
      <c r="C421" s="80">
        <v>2</v>
      </c>
      <c r="D421" s="104">
        <v>0.00040173028372176515</v>
      </c>
      <c r="E421" s="104">
        <v>3.2645030027841497</v>
      </c>
      <c r="F421" s="80" t="s">
        <v>3370</v>
      </c>
      <c r="G421" s="80" t="b">
        <v>0</v>
      </c>
      <c r="H421" s="80" t="b">
        <v>1</v>
      </c>
      <c r="I421" s="80" t="b">
        <v>0</v>
      </c>
      <c r="J421" s="80" t="b">
        <v>0</v>
      </c>
      <c r="K421" s="80" t="b">
        <v>0</v>
      </c>
      <c r="L421" s="80" t="b">
        <v>0</v>
      </c>
    </row>
    <row r="422" spans="1:12" ht="15">
      <c r="A422" s="81" t="s">
        <v>2304</v>
      </c>
      <c r="B422" s="80" t="s">
        <v>2221</v>
      </c>
      <c r="C422" s="80">
        <v>2</v>
      </c>
      <c r="D422" s="104">
        <v>0.00040173028372176515</v>
      </c>
      <c r="E422" s="104">
        <v>1.3483416069444476</v>
      </c>
      <c r="F422" s="80" t="s">
        <v>3370</v>
      </c>
      <c r="G422" s="80" t="b">
        <v>0</v>
      </c>
      <c r="H422" s="80" t="b">
        <v>0</v>
      </c>
      <c r="I422" s="80" t="b">
        <v>0</v>
      </c>
      <c r="J422" s="80" t="b">
        <v>0</v>
      </c>
      <c r="K422" s="80" t="b">
        <v>0</v>
      </c>
      <c r="L422" s="80" t="b">
        <v>0</v>
      </c>
    </row>
    <row r="423" spans="1:12" ht="15">
      <c r="A423" s="81" t="s">
        <v>2323</v>
      </c>
      <c r="B423" s="80" t="s">
        <v>2490</v>
      </c>
      <c r="C423" s="80">
        <v>2</v>
      </c>
      <c r="D423" s="104">
        <v>0.00047366098758412623</v>
      </c>
      <c r="E423" s="104">
        <v>2.440594261839831</v>
      </c>
      <c r="F423" s="80" t="s">
        <v>3370</v>
      </c>
      <c r="G423" s="80" t="b">
        <v>0</v>
      </c>
      <c r="H423" s="80" t="b">
        <v>0</v>
      </c>
      <c r="I423" s="80" t="b">
        <v>0</v>
      </c>
      <c r="J423" s="80" t="b">
        <v>0</v>
      </c>
      <c r="K423" s="80" t="b">
        <v>0</v>
      </c>
      <c r="L423" s="80" t="b">
        <v>0</v>
      </c>
    </row>
    <row r="424" spans="1:12" ht="15">
      <c r="A424" s="81" t="s">
        <v>3342</v>
      </c>
      <c r="B424" s="80" t="s">
        <v>2254</v>
      </c>
      <c r="C424" s="80">
        <v>2</v>
      </c>
      <c r="D424" s="104">
        <v>0.00040173028372176515</v>
      </c>
      <c r="E424" s="104">
        <v>2.575292835737287</v>
      </c>
      <c r="F424" s="80" t="s">
        <v>3370</v>
      </c>
      <c r="G424" s="80" t="b">
        <v>0</v>
      </c>
      <c r="H424" s="80" t="b">
        <v>0</v>
      </c>
      <c r="I424" s="80" t="b">
        <v>0</v>
      </c>
      <c r="J424" s="80" t="b">
        <v>0</v>
      </c>
      <c r="K424" s="80" t="b">
        <v>0</v>
      </c>
      <c r="L424" s="80" t="b">
        <v>0</v>
      </c>
    </row>
    <row r="425" spans="1:12" ht="15">
      <c r="A425" s="81" t="s">
        <v>2936</v>
      </c>
      <c r="B425" s="80" t="s">
        <v>3217</v>
      </c>
      <c r="C425" s="80">
        <v>2</v>
      </c>
      <c r="D425" s="104">
        <v>0.00040173028372176515</v>
      </c>
      <c r="E425" s="104">
        <v>3.616685520895512</v>
      </c>
      <c r="F425" s="80" t="s">
        <v>3370</v>
      </c>
      <c r="G425" s="80" t="b">
        <v>0</v>
      </c>
      <c r="H425" s="80" t="b">
        <v>0</v>
      </c>
      <c r="I425" s="80" t="b">
        <v>0</v>
      </c>
      <c r="J425" s="80" t="b">
        <v>0</v>
      </c>
      <c r="K425" s="80" t="b">
        <v>0</v>
      </c>
      <c r="L425" s="80" t="b">
        <v>0</v>
      </c>
    </row>
    <row r="426" spans="1:12" ht="15">
      <c r="A426" s="81" t="s">
        <v>2266</v>
      </c>
      <c r="B426" s="80" t="s">
        <v>2345</v>
      </c>
      <c r="C426" s="80">
        <v>2</v>
      </c>
      <c r="D426" s="104">
        <v>0.00040173028372176515</v>
      </c>
      <c r="E426" s="104">
        <v>1.9634730071201685</v>
      </c>
      <c r="F426" s="80" t="s">
        <v>3370</v>
      </c>
      <c r="G426" s="80" t="b">
        <v>0</v>
      </c>
      <c r="H426" s="80" t="b">
        <v>0</v>
      </c>
      <c r="I426" s="80" t="b">
        <v>0</v>
      </c>
      <c r="J426" s="80" t="b">
        <v>0</v>
      </c>
      <c r="K426" s="80" t="b">
        <v>0</v>
      </c>
      <c r="L426" s="80" t="b">
        <v>0</v>
      </c>
    </row>
    <row r="427" spans="1:12" ht="15">
      <c r="A427" s="81" t="s">
        <v>2242</v>
      </c>
      <c r="B427" s="80" t="s">
        <v>2216</v>
      </c>
      <c r="C427" s="80">
        <v>2</v>
      </c>
      <c r="D427" s="104">
        <v>0.00040173028372176515</v>
      </c>
      <c r="E427" s="104">
        <v>0.8577736284975388</v>
      </c>
      <c r="F427" s="80" t="s">
        <v>3370</v>
      </c>
      <c r="G427" s="80" t="b">
        <v>0</v>
      </c>
      <c r="H427" s="80" t="b">
        <v>0</v>
      </c>
      <c r="I427" s="80" t="b">
        <v>0</v>
      </c>
      <c r="J427" s="80" t="b">
        <v>0</v>
      </c>
      <c r="K427" s="80" t="b">
        <v>0</v>
      </c>
      <c r="L427" s="80" t="b">
        <v>0</v>
      </c>
    </row>
    <row r="428" spans="1:12" ht="15">
      <c r="A428" s="81" t="s">
        <v>3143</v>
      </c>
      <c r="B428" s="80" t="s">
        <v>3144</v>
      </c>
      <c r="C428" s="80">
        <v>2</v>
      </c>
      <c r="D428" s="104">
        <v>0.00047366098758412623</v>
      </c>
      <c r="E428" s="104">
        <v>3.616685520895512</v>
      </c>
      <c r="F428" s="80" t="s">
        <v>3370</v>
      </c>
      <c r="G428" s="80" t="b">
        <v>0</v>
      </c>
      <c r="H428" s="80" t="b">
        <v>0</v>
      </c>
      <c r="I428" s="80" t="b">
        <v>0</v>
      </c>
      <c r="J428" s="80" t="b">
        <v>0</v>
      </c>
      <c r="K428" s="80" t="b">
        <v>0</v>
      </c>
      <c r="L428" s="80" t="b">
        <v>0</v>
      </c>
    </row>
    <row r="429" spans="1:12" ht="15">
      <c r="A429" s="81" t="s">
        <v>3319</v>
      </c>
      <c r="B429" s="80" t="s">
        <v>2220</v>
      </c>
      <c r="C429" s="80">
        <v>2</v>
      </c>
      <c r="D429" s="104">
        <v>0.00047366098758412623</v>
      </c>
      <c r="E429" s="104">
        <v>2.169527489553293</v>
      </c>
      <c r="F429" s="80" t="s">
        <v>3370</v>
      </c>
      <c r="G429" s="80" t="b">
        <v>0</v>
      </c>
      <c r="H429" s="80" t="b">
        <v>0</v>
      </c>
      <c r="I429" s="80" t="b">
        <v>0</v>
      </c>
      <c r="J429" s="80" t="b">
        <v>0</v>
      </c>
      <c r="K429" s="80" t="b">
        <v>0</v>
      </c>
      <c r="L429" s="80" t="b">
        <v>0</v>
      </c>
    </row>
    <row r="430" spans="1:12" ht="15">
      <c r="A430" s="81" t="s">
        <v>2217</v>
      </c>
      <c r="B430" s="80" t="s">
        <v>2361</v>
      </c>
      <c r="C430" s="80">
        <v>2</v>
      </c>
      <c r="D430" s="104">
        <v>0.00040173028372176515</v>
      </c>
      <c r="E430" s="104">
        <v>1.451589646141294</v>
      </c>
      <c r="F430" s="80" t="s">
        <v>3370</v>
      </c>
      <c r="G430" s="80" t="b">
        <v>0</v>
      </c>
      <c r="H430" s="80" t="b">
        <v>0</v>
      </c>
      <c r="I430" s="80" t="b">
        <v>0</v>
      </c>
      <c r="J430" s="80" t="b">
        <v>0</v>
      </c>
      <c r="K430" s="80" t="b">
        <v>0</v>
      </c>
      <c r="L430" s="80" t="b">
        <v>0</v>
      </c>
    </row>
    <row r="431" spans="1:12" ht="15">
      <c r="A431" s="81" t="s">
        <v>3203</v>
      </c>
      <c r="B431" s="80" t="s">
        <v>3295</v>
      </c>
      <c r="C431" s="80">
        <v>2</v>
      </c>
      <c r="D431" s="104">
        <v>0.00047366098758412623</v>
      </c>
      <c r="E431" s="104">
        <v>3.616685520895512</v>
      </c>
      <c r="F431" s="80" t="s">
        <v>3370</v>
      </c>
      <c r="G431" s="80" t="b">
        <v>0</v>
      </c>
      <c r="H431" s="80" t="b">
        <v>0</v>
      </c>
      <c r="I431" s="80" t="b">
        <v>0</v>
      </c>
      <c r="J431" s="80" t="b">
        <v>0</v>
      </c>
      <c r="K431" s="80" t="b">
        <v>0</v>
      </c>
      <c r="L431" s="80" t="b">
        <v>0</v>
      </c>
    </row>
    <row r="432" spans="1:12" ht="15">
      <c r="A432" s="81" t="s">
        <v>2296</v>
      </c>
      <c r="B432" s="80" t="s">
        <v>2491</v>
      </c>
      <c r="C432" s="80">
        <v>2</v>
      </c>
      <c r="D432" s="104">
        <v>0.00040173028372176515</v>
      </c>
      <c r="E432" s="104">
        <v>2.373647472209218</v>
      </c>
      <c r="F432" s="80" t="s">
        <v>3370</v>
      </c>
      <c r="G432" s="80" t="b">
        <v>0</v>
      </c>
      <c r="H432" s="80" t="b">
        <v>0</v>
      </c>
      <c r="I432" s="80" t="b">
        <v>0</v>
      </c>
      <c r="J432" s="80" t="b">
        <v>0</v>
      </c>
      <c r="K432" s="80" t="b">
        <v>0</v>
      </c>
      <c r="L432" s="80" t="b">
        <v>0</v>
      </c>
    </row>
    <row r="433" spans="1:12" ht="15">
      <c r="A433" s="81" t="s">
        <v>2833</v>
      </c>
      <c r="B433" s="80" t="s">
        <v>2919</v>
      </c>
      <c r="C433" s="80">
        <v>2</v>
      </c>
      <c r="D433" s="104">
        <v>0.00040173028372176515</v>
      </c>
      <c r="E433" s="104">
        <v>3.440594261839831</v>
      </c>
      <c r="F433" s="80" t="s">
        <v>3370</v>
      </c>
      <c r="G433" s="80" t="b">
        <v>0</v>
      </c>
      <c r="H433" s="80" t="b">
        <v>0</v>
      </c>
      <c r="I433" s="80" t="b">
        <v>0</v>
      </c>
      <c r="J433" s="80" t="b">
        <v>0</v>
      </c>
      <c r="K433" s="80" t="b">
        <v>0</v>
      </c>
      <c r="L433" s="80" t="b">
        <v>0</v>
      </c>
    </row>
    <row r="434" spans="1:12" ht="15">
      <c r="A434" s="81" t="s">
        <v>2336</v>
      </c>
      <c r="B434" s="80" t="s">
        <v>2216</v>
      </c>
      <c r="C434" s="80">
        <v>2</v>
      </c>
      <c r="D434" s="104">
        <v>0.00040173028372176515</v>
      </c>
      <c r="E434" s="104">
        <v>1.2635389746815329</v>
      </c>
      <c r="F434" s="80" t="s">
        <v>3370</v>
      </c>
      <c r="G434" s="80" t="b">
        <v>1</v>
      </c>
      <c r="H434" s="80" t="b">
        <v>0</v>
      </c>
      <c r="I434" s="80" t="b">
        <v>0</v>
      </c>
      <c r="J434" s="80" t="b">
        <v>0</v>
      </c>
      <c r="K434" s="80" t="b">
        <v>0</v>
      </c>
      <c r="L434" s="80" t="b">
        <v>0</v>
      </c>
    </row>
    <row r="435" spans="1:12" ht="15">
      <c r="A435" s="81" t="s">
        <v>2254</v>
      </c>
      <c r="B435" s="80" t="s">
        <v>3147</v>
      </c>
      <c r="C435" s="80">
        <v>2</v>
      </c>
      <c r="D435" s="104">
        <v>0.00040173028372176515</v>
      </c>
      <c r="E435" s="104">
        <v>2.575292835737287</v>
      </c>
      <c r="F435" s="80" t="s">
        <v>3370</v>
      </c>
      <c r="G435" s="80" t="b">
        <v>0</v>
      </c>
      <c r="H435" s="80" t="b">
        <v>0</v>
      </c>
      <c r="I435" s="80" t="b">
        <v>0</v>
      </c>
      <c r="J435" s="80" t="b">
        <v>0</v>
      </c>
      <c r="K435" s="80" t="b">
        <v>0</v>
      </c>
      <c r="L435" s="80" t="b">
        <v>0</v>
      </c>
    </row>
    <row r="436" spans="1:12" ht="15">
      <c r="A436" s="81" t="s">
        <v>2412</v>
      </c>
      <c r="B436" s="80" t="s">
        <v>2311</v>
      </c>
      <c r="C436" s="80">
        <v>2</v>
      </c>
      <c r="D436" s="104">
        <v>0.00040173028372176515</v>
      </c>
      <c r="E436" s="104">
        <v>2.259704119902381</v>
      </c>
      <c r="F436" s="80" t="s">
        <v>3370</v>
      </c>
      <c r="G436" s="80" t="b">
        <v>0</v>
      </c>
      <c r="H436" s="80" t="b">
        <v>0</v>
      </c>
      <c r="I436" s="80" t="b">
        <v>0</v>
      </c>
      <c r="J436" s="80" t="b">
        <v>0</v>
      </c>
      <c r="K436" s="80" t="b">
        <v>0</v>
      </c>
      <c r="L436" s="80" t="b">
        <v>0</v>
      </c>
    </row>
    <row r="437" spans="1:12" ht="15">
      <c r="A437" s="81" t="s">
        <v>2238</v>
      </c>
      <c r="B437" s="80" t="s">
        <v>2991</v>
      </c>
      <c r="C437" s="80">
        <v>2</v>
      </c>
      <c r="D437" s="104">
        <v>0.00040173028372176515</v>
      </c>
      <c r="E437" s="104">
        <v>2.4263538227252206</v>
      </c>
      <c r="F437" s="80" t="s">
        <v>3370</v>
      </c>
      <c r="G437" s="80" t="b">
        <v>0</v>
      </c>
      <c r="H437" s="80" t="b">
        <v>0</v>
      </c>
      <c r="I437" s="80" t="b">
        <v>0</v>
      </c>
      <c r="J437" s="80" t="b">
        <v>0</v>
      </c>
      <c r="K437" s="80" t="b">
        <v>0</v>
      </c>
      <c r="L437" s="80" t="b">
        <v>0</v>
      </c>
    </row>
    <row r="438" spans="1:12" ht="15">
      <c r="A438" s="81" t="s">
        <v>2321</v>
      </c>
      <c r="B438" s="80" t="s">
        <v>2242</v>
      </c>
      <c r="C438" s="80">
        <v>2</v>
      </c>
      <c r="D438" s="104">
        <v>0.00040173028372176515</v>
      </c>
      <c r="E438" s="104">
        <v>1.6924062348336306</v>
      </c>
      <c r="F438" s="80" t="s">
        <v>3370</v>
      </c>
      <c r="G438" s="80" t="b">
        <v>0</v>
      </c>
      <c r="H438" s="80" t="b">
        <v>0</v>
      </c>
      <c r="I438" s="80" t="b">
        <v>0</v>
      </c>
      <c r="J438" s="80" t="b">
        <v>0</v>
      </c>
      <c r="K438" s="80" t="b">
        <v>0</v>
      </c>
      <c r="L438" s="80" t="b">
        <v>0</v>
      </c>
    </row>
    <row r="439" spans="1:12" ht="15">
      <c r="A439" s="81" t="s">
        <v>2994</v>
      </c>
      <c r="B439" s="80" t="s">
        <v>2873</v>
      </c>
      <c r="C439" s="80">
        <v>2</v>
      </c>
      <c r="D439" s="104">
        <v>0.00040173028372176515</v>
      </c>
      <c r="E439" s="104">
        <v>3.440594261839831</v>
      </c>
      <c r="F439" s="80" t="s">
        <v>3370</v>
      </c>
      <c r="G439" s="80" t="b">
        <v>0</v>
      </c>
      <c r="H439" s="80" t="b">
        <v>1</v>
      </c>
      <c r="I439" s="80" t="b">
        <v>0</v>
      </c>
      <c r="J439" s="80" t="b">
        <v>0</v>
      </c>
      <c r="K439" s="80" t="b">
        <v>0</v>
      </c>
      <c r="L439" s="80" t="b">
        <v>0</v>
      </c>
    </row>
    <row r="440" spans="1:12" ht="15">
      <c r="A440" s="81" t="s">
        <v>2213</v>
      </c>
      <c r="B440" s="80" t="s">
        <v>3187</v>
      </c>
      <c r="C440" s="80">
        <v>2</v>
      </c>
      <c r="D440" s="104">
        <v>0.00040173028372176515</v>
      </c>
      <c r="E440" s="104">
        <v>1.7938638755924077</v>
      </c>
      <c r="F440" s="80" t="s">
        <v>3370</v>
      </c>
      <c r="G440" s="80" t="b">
        <v>0</v>
      </c>
      <c r="H440" s="80" t="b">
        <v>0</v>
      </c>
      <c r="I440" s="80" t="b">
        <v>0</v>
      </c>
      <c r="J440" s="80" t="b">
        <v>0</v>
      </c>
      <c r="K440" s="80" t="b">
        <v>0</v>
      </c>
      <c r="L440" s="80" t="b">
        <v>0</v>
      </c>
    </row>
    <row r="441" spans="1:12" ht="15">
      <c r="A441" s="81" t="s">
        <v>2547</v>
      </c>
      <c r="B441" s="80" t="s">
        <v>2247</v>
      </c>
      <c r="C441" s="80">
        <v>2</v>
      </c>
      <c r="D441" s="104">
        <v>0.00040173028372176515</v>
      </c>
      <c r="E441" s="104">
        <v>2.1218354992154183</v>
      </c>
      <c r="F441" s="80" t="s">
        <v>3370</v>
      </c>
      <c r="G441" s="80" t="b">
        <v>0</v>
      </c>
      <c r="H441" s="80" t="b">
        <v>0</v>
      </c>
      <c r="I441" s="80" t="b">
        <v>0</v>
      </c>
      <c r="J441" s="80" t="b">
        <v>0</v>
      </c>
      <c r="K441" s="80" t="b">
        <v>0</v>
      </c>
      <c r="L441" s="80" t="b">
        <v>0</v>
      </c>
    </row>
    <row r="442" spans="1:12" ht="15">
      <c r="A442" s="81" t="s">
        <v>2340</v>
      </c>
      <c r="B442" s="80" t="s">
        <v>2224</v>
      </c>
      <c r="C442" s="80">
        <v>2</v>
      </c>
      <c r="D442" s="104">
        <v>0.00040173028372176515</v>
      </c>
      <c r="E442" s="104">
        <v>1.5197755078874557</v>
      </c>
      <c r="F442" s="80" t="s">
        <v>3370</v>
      </c>
      <c r="G442" s="80" t="b">
        <v>0</v>
      </c>
      <c r="H442" s="80" t="b">
        <v>0</v>
      </c>
      <c r="I442" s="80" t="b">
        <v>0</v>
      </c>
      <c r="J442" s="80" t="b">
        <v>0</v>
      </c>
      <c r="K442" s="80" t="b">
        <v>0</v>
      </c>
      <c r="L442" s="80" t="b">
        <v>0</v>
      </c>
    </row>
    <row r="443" spans="1:12" ht="15">
      <c r="A443" s="81" t="s">
        <v>2237</v>
      </c>
      <c r="B443" s="80" t="s">
        <v>2579</v>
      </c>
      <c r="C443" s="80">
        <v>2</v>
      </c>
      <c r="D443" s="104">
        <v>0.00040173028372176515</v>
      </c>
      <c r="E443" s="104">
        <v>2.1253238270612393</v>
      </c>
      <c r="F443" s="80" t="s">
        <v>3370</v>
      </c>
      <c r="G443" s="80" t="b">
        <v>0</v>
      </c>
      <c r="H443" s="80" t="b">
        <v>0</v>
      </c>
      <c r="I443" s="80" t="b">
        <v>0</v>
      </c>
      <c r="J443" s="80" t="b">
        <v>0</v>
      </c>
      <c r="K443" s="80" t="b">
        <v>0</v>
      </c>
      <c r="L443" s="80" t="b">
        <v>0</v>
      </c>
    </row>
    <row r="444" spans="1:12" ht="15">
      <c r="A444" s="81" t="s">
        <v>3131</v>
      </c>
      <c r="B444" s="80" t="s">
        <v>2237</v>
      </c>
      <c r="C444" s="80">
        <v>2</v>
      </c>
      <c r="D444" s="104">
        <v>0.00040173028372176515</v>
      </c>
      <c r="E444" s="104">
        <v>2.440594261839831</v>
      </c>
      <c r="F444" s="80" t="s">
        <v>3370</v>
      </c>
      <c r="G444" s="80" t="b">
        <v>0</v>
      </c>
      <c r="H444" s="80" t="b">
        <v>0</v>
      </c>
      <c r="I444" s="80" t="b">
        <v>0</v>
      </c>
      <c r="J444" s="80" t="b">
        <v>0</v>
      </c>
      <c r="K444" s="80" t="b">
        <v>0</v>
      </c>
      <c r="L444" s="80" t="b">
        <v>0</v>
      </c>
    </row>
    <row r="445" spans="1:12" ht="15">
      <c r="A445" s="81" t="s">
        <v>2255</v>
      </c>
      <c r="B445" s="80" t="s">
        <v>2322</v>
      </c>
      <c r="C445" s="80">
        <v>2</v>
      </c>
      <c r="D445" s="104">
        <v>0.00040173028372176515</v>
      </c>
      <c r="E445" s="104">
        <v>1.8173449714419305</v>
      </c>
      <c r="F445" s="80" t="s">
        <v>3370</v>
      </c>
      <c r="G445" s="80" t="b">
        <v>1</v>
      </c>
      <c r="H445" s="80" t="b">
        <v>0</v>
      </c>
      <c r="I445" s="80" t="b">
        <v>0</v>
      </c>
      <c r="J445" s="80" t="b">
        <v>0</v>
      </c>
      <c r="K445" s="80" t="b">
        <v>0</v>
      </c>
      <c r="L445" s="80" t="b">
        <v>0</v>
      </c>
    </row>
    <row r="446" spans="1:12" ht="15">
      <c r="A446" s="81" t="s">
        <v>2242</v>
      </c>
      <c r="B446" s="80" t="s">
        <v>2699</v>
      </c>
      <c r="C446" s="80">
        <v>2</v>
      </c>
      <c r="D446" s="104">
        <v>0.00040173028372176515</v>
      </c>
      <c r="E446" s="104">
        <v>2.294466226161593</v>
      </c>
      <c r="F446" s="80" t="s">
        <v>3370</v>
      </c>
      <c r="G446" s="80" t="b">
        <v>0</v>
      </c>
      <c r="H446" s="80" t="b">
        <v>0</v>
      </c>
      <c r="I446" s="80" t="b">
        <v>0</v>
      </c>
      <c r="J446" s="80" t="b">
        <v>0</v>
      </c>
      <c r="K446" s="80" t="b">
        <v>0</v>
      </c>
      <c r="L446" s="80" t="b">
        <v>0</v>
      </c>
    </row>
    <row r="447" spans="1:12" ht="15">
      <c r="A447" s="81" t="s">
        <v>2750</v>
      </c>
      <c r="B447" s="80" t="s">
        <v>2830</v>
      </c>
      <c r="C447" s="80">
        <v>2</v>
      </c>
      <c r="D447" s="104">
        <v>0.00047366098758412623</v>
      </c>
      <c r="E447" s="104">
        <v>3.2645030027841497</v>
      </c>
      <c r="F447" s="80" t="s">
        <v>3370</v>
      </c>
      <c r="G447" s="80" t="b">
        <v>0</v>
      </c>
      <c r="H447" s="80" t="b">
        <v>0</v>
      </c>
      <c r="I447" s="80" t="b">
        <v>0</v>
      </c>
      <c r="J447" s="80" t="b">
        <v>0</v>
      </c>
      <c r="K447" s="80" t="b">
        <v>0</v>
      </c>
      <c r="L447" s="80" t="b">
        <v>0</v>
      </c>
    </row>
    <row r="448" spans="1:12" ht="15">
      <c r="A448" s="81" t="s">
        <v>2943</v>
      </c>
      <c r="B448" s="80" t="s">
        <v>2363</v>
      </c>
      <c r="C448" s="80">
        <v>2</v>
      </c>
      <c r="D448" s="104">
        <v>0.00047366098758412623</v>
      </c>
      <c r="E448" s="104">
        <v>2.9634730071201685</v>
      </c>
      <c r="F448" s="80" t="s">
        <v>3370</v>
      </c>
      <c r="G448" s="80" t="b">
        <v>0</v>
      </c>
      <c r="H448" s="80" t="b">
        <v>0</v>
      </c>
      <c r="I448" s="80" t="b">
        <v>0</v>
      </c>
      <c r="J448" s="80" t="b">
        <v>0</v>
      </c>
      <c r="K448" s="80" t="b">
        <v>0</v>
      </c>
      <c r="L448" s="80" t="b">
        <v>0</v>
      </c>
    </row>
    <row r="449" spans="1:12" ht="15">
      <c r="A449" s="81" t="s">
        <v>2384</v>
      </c>
      <c r="B449" s="80" t="s">
        <v>3062</v>
      </c>
      <c r="C449" s="80">
        <v>2</v>
      </c>
      <c r="D449" s="104">
        <v>0.00040173028372176515</v>
      </c>
      <c r="E449" s="104">
        <v>3.01462552956755</v>
      </c>
      <c r="F449" s="80" t="s">
        <v>3370</v>
      </c>
      <c r="G449" s="80" t="b">
        <v>0</v>
      </c>
      <c r="H449" s="80" t="b">
        <v>0</v>
      </c>
      <c r="I449" s="80" t="b">
        <v>0</v>
      </c>
      <c r="J449" s="80" t="b">
        <v>0</v>
      </c>
      <c r="K449" s="80" t="b">
        <v>0</v>
      </c>
      <c r="L449" s="80" t="b">
        <v>0</v>
      </c>
    </row>
    <row r="450" spans="1:12" ht="15">
      <c r="A450" s="81" t="s">
        <v>3249</v>
      </c>
      <c r="B450" s="80" t="s">
        <v>2996</v>
      </c>
      <c r="C450" s="80">
        <v>2</v>
      </c>
      <c r="D450" s="104">
        <v>0.00040173028372176515</v>
      </c>
      <c r="E450" s="104">
        <v>3.616685520895512</v>
      </c>
      <c r="F450" s="80" t="s">
        <v>3370</v>
      </c>
      <c r="G450" s="80" t="b">
        <v>0</v>
      </c>
      <c r="H450" s="80" t="b">
        <v>0</v>
      </c>
      <c r="I450" s="80" t="b">
        <v>0</v>
      </c>
      <c r="J450" s="80" t="b">
        <v>0</v>
      </c>
      <c r="K450" s="80" t="b">
        <v>0</v>
      </c>
      <c r="L450" s="80" t="b">
        <v>0</v>
      </c>
    </row>
    <row r="451" spans="1:12" ht="15">
      <c r="A451" s="81" t="s">
        <v>2379</v>
      </c>
      <c r="B451" s="80" t="s">
        <v>2219</v>
      </c>
      <c r="C451" s="80">
        <v>2</v>
      </c>
      <c r="D451" s="104">
        <v>0.00040173028372176515</v>
      </c>
      <c r="E451" s="104">
        <v>1.6027954605670736</v>
      </c>
      <c r="F451" s="80" t="s">
        <v>3370</v>
      </c>
      <c r="G451" s="80" t="b">
        <v>0</v>
      </c>
      <c r="H451" s="80" t="b">
        <v>0</v>
      </c>
      <c r="I451" s="80" t="b">
        <v>0</v>
      </c>
      <c r="J451" s="80" t="b">
        <v>0</v>
      </c>
      <c r="K451" s="80" t="b">
        <v>0</v>
      </c>
      <c r="L451" s="80" t="b">
        <v>0</v>
      </c>
    </row>
    <row r="452" spans="1:12" ht="15">
      <c r="A452" s="81" t="s">
        <v>2242</v>
      </c>
      <c r="B452" s="80" t="s">
        <v>2404</v>
      </c>
      <c r="C452" s="80">
        <v>2</v>
      </c>
      <c r="D452" s="104">
        <v>0.00040173028372176515</v>
      </c>
      <c r="E452" s="104">
        <v>1.9264894408669986</v>
      </c>
      <c r="F452" s="80" t="s">
        <v>3370</v>
      </c>
      <c r="G452" s="80" t="b">
        <v>0</v>
      </c>
      <c r="H452" s="80" t="b">
        <v>0</v>
      </c>
      <c r="I452" s="80" t="b">
        <v>0</v>
      </c>
      <c r="J452" s="80" t="b">
        <v>0</v>
      </c>
      <c r="K452" s="80" t="b">
        <v>0</v>
      </c>
      <c r="L452" s="80" t="b">
        <v>0</v>
      </c>
    </row>
    <row r="453" spans="1:12" ht="15">
      <c r="A453" s="81" t="s">
        <v>2399</v>
      </c>
      <c r="B453" s="80" t="s">
        <v>2358</v>
      </c>
      <c r="C453" s="80">
        <v>2</v>
      </c>
      <c r="D453" s="104">
        <v>0.00040173028372176515</v>
      </c>
      <c r="E453" s="104">
        <v>2.419404962769893</v>
      </c>
      <c r="F453" s="80" t="s">
        <v>3370</v>
      </c>
      <c r="G453" s="80" t="b">
        <v>0</v>
      </c>
      <c r="H453" s="80" t="b">
        <v>0</v>
      </c>
      <c r="I453" s="80" t="b">
        <v>0</v>
      </c>
      <c r="J453" s="80" t="b">
        <v>0</v>
      </c>
      <c r="K453" s="80" t="b">
        <v>0</v>
      </c>
      <c r="L453" s="80" t="b">
        <v>0</v>
      </c>
    </row>
    <row r="454" spans="1:12" ht="15">
      <c r="A454" s="81" t="s">
        <v>2324</v>
      </c>
      <c r="B454" s="80" t="s">
        <v>3079</v>
      </c>
      <c r="C454" s="80">
        <v>2</v>
      </c>
      <c r="D454" s="104">
        <v>0.00047366098758412623</v>
      </c>
      <c r="E454" s="104">
        <v>2.8385342705118686</v>
      </c>
      <c r="F454" s="80" t="s">
        <v>3370</v>
      </c>
      <c r="G454" s="80" t="b">
        <v>0</v>
      </c>
      <c r="H454" s="80" t="b">
        <v>0</v>
      </c>
      <c r="I454" s="80" t="b">
        <v>0</v>
      </c>
      <c r="J454" s="80" t="b">
        <v>0</v>
      </c>
      <c r="K454" s="80" t="b">
        <v>0</v>
      </c>
      <c r="L454" s="80" t="b">
        <v>0</v>
      </c>
    </row>
    <row r="455" spans="1:12" ht="15">
      <c r="A455" s="81" t="s">
        <v>2263</v>
      </c>
      <c r="B455" s="80" t="s">
        <v>3161</v>
      </c>
      <c r="C455" s="80">
        <v>2</v>
      </c>
      <c r="D455" s="104">
        <v>0.00040173028372176515</v>
      </c>
      <c r="E455" s="104">
        <v>2.6389619156066644</v>
      </c>
      <c r="F455" s="80" t="s">
        <v>3370</v>
      </c>
      <c r="G455" s="80" t="b">
        <v>0</v>
      </c>
      <c r="H455" s="80" t="b">
        <v>0</v>
      </c>
      <c r="I455" s="80" t="b">
        <v>0</v>
      </c>
      <c r="J455" s="80" t="b">
        <v>1</v>
      </c>
      <c r="K455" s="80" t="b">
        <v>0</v>
      </c>
      <c r="L455" s="80" t="b">
        <v>0</v>
      </c>
    </row>
    <row r="456" spans="1:12" ht="15">
      <c r="A456" s="81" t="s">
        <v>2541</v>
      </c>
      <c r="B456" s="80" t="s">
        <v>2244</v>
      </c>
      <c r="C456" s="80">
        <v>2</v>
      </c>
      <c r="D456" s="104">
        <v>0.00040173028372176515</v>
      </c>
      <c r="E456" s="104">
        <v>2.0726174765452368</v>
      </c>
      <c r="F456" s="80" t="s">
        <v>3370</v>
      </c>
      <c r="G456" s="80" t="b">
        <v>0</v>
      </c>
      <c r="H456" s="80" t="b">
        <v>0</v>
      </c>
      <c r="I456" s="80" t="b">
        <v>0</v>
      </c>
      <c r="J456" s="80" t="b">
        <v>0</v>
      </c>
      <c r="K456" s="80" t="b">
        <v>0</v>
      </c>
      <c r="L456" s="80" t="b">
        <v>0</v>
      </c>
    </row>
    <row r="457" spans="1:12" ht="15">
      <c r="A457" s="81" t="s">
        <v>2591</v>
      </c>
      <c r="B457" s="80" t="s">
        <v>2705</v>
      </c>
      <c r="C457" s="80">
        <v>2</v>
      </c>
      <c r="D457" s="104">
        <v>0.00040173028372176515</v>
      </c>
      <c r="E457" s="104">
        <v>3.13956426617585</v>
      </c>
      <c r="F457" s="80" t="s">
        <v>3370</v>
      </c>
      <c r="G457" s="80" t="b">
        <v>0</v>
      </c>
      <c r="H457" s="80" t="b">
        <v>0</v>
      </c>
      <c r="I457" s="80" t="b">
        <v>0</v>
      </c>
      <c r="J457" s="80" t="b">
        <v>0</v>
      </c>
      <c r="K457" s="80" t="b">
        <v>0</v>
      </c>
      <c r="L457" s="80" t="b">
        <v>0</v>
      </c>
    </row>
    <row r="458" spans="1:12" ht="15">
      <c r="A458" s="81" t="s">
        <v>2290</v>
      </c>
      <c r="B458" s="80" t="s">
        <v>2230</v>
      </c>
      <c r="C458" s="80">
        <v>2</v>
      </c>
      <c r="D458" s="104">
        <v>0.00040173028372176515</v>
      </c>
      <c r="E458" s="104">
        <v>1.429870396448058</v>
      </c>
      <c r="F458" s="80" t="s">
        <v>3370</v>
      </c>
      <c r="G458" s="80" t="b">
        <v>0</v>
      </c>
      <c r="H458" s="80" t="b">
        <v>0</v>
      </c>
      <c r="I458" s="80" t="b">
        <v>0</v>
      </c>
      <c r="J458" s="80" t="b">
        <v>0</v>
      </c>
      <c r="K458" s="80" t="b">
        <v>0</v>
      </c>
      <c r="L458" s="80" t="b">
        <v>0</v>
      </c>
    </row>
    <row r="459" spans="1:12" ht="15">
      <c r="A459" s="81" t="s">
        <v>2784</v>
      </c>
      <c r="B459" s="80" t="s">
        <v>3195</v>
      </c>
      <c r="C459" s="80">
        <v>2</v>
      </c>
      <c r="D459" s="104">
        <v>0.00047366098758412623</v>
      </c>
      <c r="E459" s="104">
        <v>3.440594261839831</v>
      </c>
      <c r="F459" s="80" t="s">
        <v>3370</v>
      </c>
      <c r="G459" s="80" t="b">
        <v>0</v>
      </c>
      <c r="H459" s="80" t="b">
        <v>0</v>
      </c>
      <c r="I459" s="80" t="b">
        <v>0</v>
      </c>
      <c r="J459" s="80" t="b">
        <v>0</v>
      </c>
      <c r="K459" s="80" t="b">
        <v>0</v>
      </c>
      <c r="L459" s="80" t="b">
        <v>0</v>
      </c>
    </row>
    <row r="460" spans="1:12" ht="15">
      <c r="A460" s="81" t="s">
        <v>2242</v>
      </c>
      <c r="B460" s="80" t="s">
        <v>2442</v>
      </c>
      <c r="C460" s="80">
        <v>2</v>
      </c>
      <c r="D460" s="104">
        <v>0.00040173028372176515</v>
      </c>
      <c r="E460" s="104">
        <v>1.9934362304976116</v>
      </c>
      <c r="F460" s="80" t="s">
        <v>3370</v>
      </c>
      <c r="G460" s="80" t="b">
        <v>0</v>
      </c>
      <c r="H460" s="80" t="b">
        <v>0</v>
      </c>
      <c r="I460" s="80" t="b">
        <v>0</v>
      </c>
      <c r="J460" s="80" t="b">
        <v>1</v>
      </c>
      <c r="K460" s="80" t="b">
        <v>0</v>
      </c>
      <c r="L460" s="80" t="b">
        <v>0</v>
      </c>
    </row>
    <row r="461" spans="1:12" ht="15">
      <c r="A461" s="81" t="s">
        <v>3362</v>
      </c>
      <c r="B461" s="80" t="s">
        <v>2804</v>
      </c>
      <c r="C461" s="80">
        <v>2</v>
      </c>
      <c r="D461" s="104">
        <v>0.00040173028372176515</v>
      </c>
      <c r="E461" s="104">
        <v>3.440594261839831</v>
      </c>
      <c r="F461" s="80" t="s">
        <v>3370</v>
      </c>
      <c r="G461" s="80" t="b">
        <v>0</v>
      </c>
      <c r="H461" s="80" t="b">
        <v>0</v>
      </c>
      <c r="I461" s="80" t="b">
        <v>0</v>
      </c>
      <c r="J461" s="80" t="b">
        <v>0</v>
      </c>
      <c r="K461" s="80" t="b">
        <v>0</v>
      </c>
      <c r="L461" s="80" t="b">
        <v>0</v>
      </c>
    </row>
    <row r="462" spans="1:12" ht="15">
      <c r="A462" s="81" t="s">
        <v>3014</v>
      </c>
      <c r="B462" s="80" t="s">
        <v>3048</v>
      </c>
      <c r="C462" s="80">
        <v>2</v>
      </c>
      <c r="D462" s="104">
        <v>0.00047366098758412623</v>
      </c>
      <c r="E462" s="104">
        <v>3.616685520895512</v>
      </c>
      <c r="F462" s="80" t="s">
        <v>3370</v>
      </c>
      <c r="G462" s="80" t="b">
        <v>0</v>
      </c>
      <c r="H462" s="80" t="b">
        <v>0</v>
      </c>
      <c r="I462" s="80" t="b">
        <v>0</v>
      </c>
      <c r="J462" s="80" t="b">
        <v>0</v>
      </c>
      <c r="K462" s="80" t="b">
        <v>0</v>
      </c>
      <c r="L462" s="80" t="b">
        <v>0</v>
      </c>
    </row>
    <row r="463" spans="1:12" ht="15">
      <c r="A463" s="81" t="s">
        <v>2404</v>
      </c>
      <c r="B463" s="80" t="s">
        <v>2403</v>
      </c>
      <c r="C463" s="80">
        <v>2</v>
      </c>
      <c r="D463" s="104">
        <v>0.00040173028372176515</v>
      </c>
      <c r="E463" s="104">
        <v>2.528549432194961</v>
      </c>
      <c r="F463" s="80" t="s">
        <v>3370</v>
      </c>
      <c r="G463" s="80" t="b">
        <v>0</v>
      </c>
      <c r="H463" s="80" t="b">
        <v>0</v>
      </c>
      <c r="I463" s="80" t="b">
        <v>0</v>
      </c>
      <c r="J463" s="80" t="b">
        <v>0</v>
      </c>
      <c r="K463" s="80" t="b">
        <v>0</v>
      </c>
      <c r="L463" s="80" t="b">
        <v>0</v>
      </c>
    </row>
    <row r="464" spans="1:12" ht="15">
      <c r="A464" s="81" t="s">
        <v>2288</v>
      </c>
      <c r="B464" s="80" t="s">
        <v>2846</v>
      </c>
      <c r="C464" s="80">
        <v>2</v>
      </c>
      <c r="D464" s="104">
        <v>0.00040173028372176515</v>
      </c>
      <c r="E464" s="104">
        <v>2.565532998448131</v>
      </c>
      <c r="F464" s="80" t="s">
        <v>3370</v>
      </c>
      <c r="G464" s="80" t="b">
        <v>0</v>
      </c>
      <c r="H464" s="80" t="b">
        <v>0</v>
      </c>
      <c r="I464" s="80" t="b">
        <v>0</v>
      </c>
      <c r="J464" s="80" t="b">
        <v>0</v>
      </c>
      <c r="K464" s="80" t="b">
        <v>0</v>
      </c>
      <c r="L464" s="80" t="b">
        <v>0</v>
      </c>
    </row>
    <row r="465" spans="1:12" ht="15">
      <c r="A465" s="81" t="s">
        <v>2410</v>
      </c>
      <c r="B465" s="80" t="s">
        <v>2220</v>
      </c>
      <c r="C465" s="80">
        <v>2</v>
      </c>
      <c r="D465" s="104">
        <v>0.00047366098758412623</v>
      </c>
      <c r="E465" s="104">
        <v>1.6254594452030173</v>
      </c>
      <c r="F465" s="80" t="s">
        <v>3370</v>
      </c>
      <c r="G465" s="80" t="b">
        <v>0</v>
      </c>
      <c r="H465" s="80" t="b">
        <v>0</v>
      </c>
      <c r="I465" s="80" t="b">
        <v>0</v>
      </c>
      <c r="J465" s="80" t="b">
        <v>0</v>
      </c>
      <c r="K465" s="80" t="b">
        <v>0</v>
      </c>
      <c r="L465" s="80" t="b">
        <v>0</v>
      </c>
    </row>
    <row r="466" spans="1:12" ht="15">
      <c r="A466" s="81" t="s">
        <v>3088</v>
      </c>
      <c r="B466" s="80" t="s">
        <v>2388</v>
      </c>
      <c r="C466" s="80">
        <v>2</v>
      </c>
      <c r="D466" s="104">
        <v>0.00047366098758412623</v>
      </c>
      <c r="E466" s="104">
        <v>3.01462552956755</v>
      </c>
      <c r="F466" s="80" t="s">
        <v>3370</v>
      </c>
      <c r="G466" s="80" t="b">
        <v>0</v>
      </c>
      <c r="H466" s="80" t="b">
        <v>0</v>
      </c>
      <c r="I466" s="80" t="b">
        <v>0</v>
      </c>
      <c r="J466" s="80" t="b">
        <v>0</v>
      </c>
      <c r="K466" s="80" t="b">
        <v>0</v>
      </c>
      <c r="L466" s="80" t="b">
        <v>0</v>
      </c>
    </row>
    <row r="467" spans="1:12" ht="15">
      <c r="A467" s="81" t="s">
        <v>2602</v>
      </c>
      <c r="B467" s="80" t="s">
        <v>3300</v>
      </c>
      <c r="C467" s="80">
        <v>2</v>
      </c>
      <c r="D467" s="104">
        <v>0.00040173028372176515</v>
      </c>
      <c r="E467" s="104">
        <v>3.315655525231531</v>
      </c>
      <c r="F467" s="80" t="s">
        <v>3370</v>
      </c>
      <c r="G467" s="80" t="b">
        <v>0</v>
      </c>
      <c r="H467" s="80" t="b">
        <v>0</v>
      </c>
      <c r="I467" s="80" t="b">
        <v>0</v>
      </c>
      <c r="J467" s="80" t="b">
        <v>0</v>
      </c>
      <c r="K467" s="80" t="b">
        <v>0</v>
      </c>
      <c r="L467" s="80" t="b">
        <v>0</v>
      </c>
    </row>
    <row r="468" spans="1:12" ht="15">
      <c r="A468" s="81" t="s">
        <v>3027</v>
      </c>
      <c r="B468" s="80" t="s">
        <v>2914</v>
      </c>
      <c r="C468" s="80">
        <v>2</v>
      </c>
      <c r="D468" s="104">
        <v>0.00040173028372176515</v>
      </c>
      <c r="E468" s="104">
        <v>3.616685520895512</v>
      </c>
      <c r="F468" s="80" t="s">
        <v>3370</v>
      </c>
      <c r="G468" s="80" t="b">
        <v>0</v>
      </c>
      <c r="H468" s="80" t="b">
        <v>0</v>
      </c>
      <c r="I468" s="80" t="b">
        <v>0</v>
      </c>
      <c r="J468" s="80" t="b">
        <v>0</v>
      </c>
      <c r="K468" s="80" t="b">
        <v>0</v>
      </c>
      <c r="L468" s="80" t="b">
        <v>0</v>
      </c>
    </row>
    <row r="469" spans="1:12" ht="15">
      <c r="A469" s="81" t="s">
        <v>3290</v>
      </c>
      <c r="B469" s="80" t="s">
        <v>3220</v>
      </c>
      <c r="C469" s="80">
        <v>2</v>
      </c>
      <c r="D469" s="104">
        <v>0.00040173028372176515</v>
      </c>
      <c r="E469" s="104">
        <v>3.616685520895512</v>
      </c>
      <c r="F469" s="80" t="s">
        <v>3370</v>
      </c>
      <c r="G469" s="80" t="b">
        <v>0</v>
      </c>
      <c r="H469" s="80" t="b">
        <v>0</v>
      </c>
      <c r="I469" s="80" t="b">
        <v>0</v>
      </c>
      <c r="J469" s="80" t="b">
        <v>0</v>
      </c>
      <c r="K469" s="80" t="b">
        <v>0</v>
      </c>
      <c r="L469" s="80" t="b">
        <v>0</v>
      </c>
    </row>
    <row r="470" spans="1:12" ht="15">
      <c r="A470" s="81" t="s">
        <v>2243</v>
      </c>
      <c r="B470" s="80" t="s">
        <v>3180</v>
      </c>
      <c r="C470" s="80">
        <v>2</v>
      </c>
      <c r="D470" s="104">
        <v>0.00047366098758412623</v>
      </c>
      <c r="E470" s="104">
        <v>2.4705574852172743</v>
      </c>
      <c r="F470" s="80" t="s">
        <v>3370</v>
      </c>
      <c r="G470" s="80" t="b">
        <v>0</v>
      </c>
      <c r="H470" s="80" t="b">
        <v>0</v>
      </c>
      <c r="I470" s="80" t="b">
        <v>0</v>
      </c>
      <c r="J470" s="80" t="b">
        <v>0</v>
      </c>
      <c r="K470" s="80" t="b">
        <v>0</v>
      </c>
      <c r="L470" s="80" t="b">
        <v>0</v>
      </c>
    </row>
    <row r="471" spans="1:12" ht="15">
      <c r="A471" s="81" t="s">
        <v>2530</v>
      </c>
      <c r="B471" s="80" t="s">
        <v>2478</v>
      </c>
      <c r="C471" s="80">
        <v>2</v>
      </c>
      <c r="D471" s="104">
        <v>0.00040173028372176515</v>
      </c>
      <c r="E471" s="104">
        <v>2.7416242575038123</v>
      </c>
      <c r="F471" s="80" t="s">
        <v>3370</v>
      </c>
      <c r="G471" s="80" t="b">
        <v>0</v>
      </c>
      <c r="H471" s="80" t="b">
        <v>0</v>
      </c>
      <c r="I471" s="80" t="b">
        <v>0</v>
      </c>
      <c r="J471" s="80" t="b">
        <v>0</v>
      </c>
      <c r="K471" s="80" t="b">
        <v>0</v>
      </c>
      <c r="L471" s="80" t="b">
        <v>0</v>
      </c>
    </row>
    <row r="472" spans="1:12" ht="15">
      <c r="A472" s="81" t="s">
        <v>2252</v>
      </c>
      <c r="B472" s="80" t="s">
        <v>2467</v>
      </c>
      <c r="C472" s="80">
        <v>2</v>
      </c>
      <c r="D472" s="104">
        <v>0.00040173028372176515</v>
      </c>
      <c r="E472" s="104">
        <v>2.13956426617585</v>
      </c>
      <c r="F472" s="80" t="s">
        <v>3370</v>
      </c>
      <c r="G472" s="80" t="b">
        <v>0</v>
      </c>
      <c r="H472" s="80" t="b">
        <v>0</v>
      </c>
      <c r="I472" s="80" t="b">
        <v>0</v>
      </c>
      <c r="J472" s="80" t="b">
        <v>0</v>
      </c>
      <c r="K472" s="80" t="b">
        <v>0</v>
      </c>
      <c r="L472" s="80" t="b">
        <v>0</v>
      </c>
    </row>
    <row r="473" spans="1:12" ht="15">
      <c r="A473" s="81" t="s">
        <v>2806</v>
      </c>
      <c r="B473" s="80" t="s">
        <v>2274</v>
      </c>
      <c r="C473" s="80">
        <v>2</v>
      </c>
      <c r="D473" s="104">
        <v>0.00040173028372176515</v>
      </c>
      <c r="E473" s="104">
        <v>2.595496221825574</v>
      </c>
      <c r="F473" s="80" t="s">
        <v>3370</v>
      </c>
      <c r="G473" s="80" t="b">
        <v>0</v>
      </c>
      <c r="H473" s="80" t="b">
        <v>0</v>
      </c>
      <c r="I473" s="80" t="b">
        <v>0</v>
      </c>
      <c r="J473" s="80" t="b">
        <v>0</v>
      </c>
      <c r="K473" s="80" t="b">
        <v>0</v>
      </c>
      <c r="L473" s="80" t="b">
        <v>0</v>
      </c>
    </row>
    <row r="474" spans="1:12" ht="15">
      <c r="A474" s="81" t="s">
        <v>3036</v>
      </c>
      <c r="B474" s="80" t="s">
        <v>2232</v>
      </c>
      <c r="C474" s="80">
        <v>2</v>
      </c>
      <c r="D474" s="104">
        <v>0.00040173028372176515</v>
      </c>
      <c r="E474" s="104">
        <v>2.3862365995172383</v>
      </c>
      <c r="F474" s="80" t="s">
        <v>3370</v>
      </c>
      <c r="G474" s="80" t="b">
        <v>0</v>
      </c>
      <c r="H474" s="80" t="b">
        <v>0</v>
      </c>
      <c r="I474" s="80" t="b">
        <v>0</v>
      </c>
      <c r="J474" s="80" t="b">
        <v>0</v>
      </c>
      <c r="K474" s="80" t="b">
        <v>0</v>
      </c>
      <c r="L474" s="80" t="b">
        <v>0</v>
      </c>
    </row>
    <row r="475" spans="1:12" ht="15">
      <c r="A475" s="81" t="s">
        <v>2318</v>
      </c>
      <c r="B475" s="80" t="s">
        <v>2265</v>
      </c>
      <c r="C475" s="80">
        <v>2</v>
      </c>
      <c r="D475" s="104">
        <v>0.00047366098758412623</v>
      </c>
      <c r="E475" s="104">
        <v>1.8495296548133318</v>
      </c>
      <c r="F475" s="80" t="s">
        <v>3370</v>
      </c>
      <c r="G475" s="80" t="b">
        <v>0</v>
      </c>
      <c r="H475" s="80" t="b">
        <v>0</v>
      </c>
      <c r="I475" s="80" t="b">
        <v>0</v>
      </c>
      <c r="J475" s="80" t="b">
        <v>0</v>
      </c>
      <c r="K475" s="80" t="b">
        <v>0</v>
      </c>
      <c r="L475" s="80" t="b">
        <v>0</v>
      </c>
    </row>
    <row r="476" spans="1:12" ht="15">
      <c r="A476" s="81" t="s">
        <v>2225</v>
      </c>
      <c r="B476" s="80" t="s">
        <v>2679</v>
      </c>
      <c r="C476" s="80">
        <v>2</v>
      </c>
      <c r="D476" s="104">
        <v>0.00047366098758412623</v>
      </c>
      <c r="E476" s="104">
        <v>2.060383020128225</v>
      </c>
      <c r="F476" s="80" t="s">
        <v>3370</v>
      </c>
      <c r="G476" s="80" t="b">
        <v>0</v>
      </c>
      <c r="H476" s="80" t="b">
        <v>0</v>
      </c>
      <c r="I476" s="80" t="b">
        <v>0</v>
      </c>
      <c r="J476" s="80" t="b">
        <v>0</v>
      </c>
      <c r="K476" s="80" t="b">
        <v>0</v>
      </c>
      <c r="L476" s="80" t="b">
        <v>0</v>
      </c>
    </row>
    <row r="477" spans="1:12" ht="15">
      <c r="A477" s="81" t="s">
        <v>2621</v>
      </c>
      <c r="B477" s="80" t="s">
        <v>2317</v>
      </c>
      <c r="C477" s="80">
        <v>2</v>
      </c>
      <c r="D477" s="104">
        <v>0.00040173028372176515</v>
      </c>
      <c r="E477" s="104">
        <v>2.5027421685886755</v>
      </c>
      <c r="F477" s="80" t="s">
        <v>3370</v>
      </c>
      <c r="G477" s="80" t="b">
        <v>0</v>
      </c>
      <c r="H477" s="80" t="b">
        <v>0</v>
      </c>
      <c r="I477" s="80" t="b">
        <v>0</v>
      </c>
      <c r="J477" s="80" t="b">
        <v>0</v>
      </c>
      <c r="K477" s="80" t="b">
        <v>0</v>
      </c>
      <c r="L477" s="80" t="b">
        <v>0</v>
      </c>
    </row>
    <row r="478" spans="1:12" ht="15">
      <c r="A478" s="81" t="s">
        <v>2216</v>
      </c>
      <c r="B478" s="80" t="s">
        <v>2735</v>
      </c>
      <c r="C478" s="80">
        <v>2</v>
      </c>
      <c r="D478" s="104">
        <v>0.00047366098758412623</v>
      </c>
      <c r="E478" s="104">
        <v>1.8278104051200954</v>
      </c>
      <c r="F478" s="80" t="s">
        <v>3370</v>
      </c>
      <c r="G478" s="80" t="b">
        <v>0</v>
      </c>
      <c r="H478" s="80" t="b">
        <v>0</v>
      </c>
      <c r="I478" s="80" t="b">
        <v>0</v>
      </c>
      <c r="J478" s="80" t="b">
        <v>0</v>
      </c>
      <c r="K478" s="80" t="b">
        <v>0</v>
      </c>
      <c r="L478" s="80" t="b">
        <v>0</v>
      </c>
    </row>
    <row r="479" spans="1:12" ht="15">
      <c r="A479" s="81" t="s">
        <v>2504</v>
      </c>
      <c r="B479" s="80" t="s">
        <v>2512</v>
      </c>
      <c r="C479" s="80">
        <v>2</v>
      </c>
      <c r="D479" s="104">
        <v>0.00040173028372176515</v>
      </c>
      <c r="E479" s="104">
        <v>2.820805503551437</v>
      </c>
      <c r="F479" s="80" t="s">
        <v>3370</v>
      </c>
      <c r="G479" s="80" t="b">
        <v>0</v>
      </c>
      <c r="H479" s="80" t="b">
        <v>1</v>
      </c>
      <c r="I479" s="80" t="b">
        <v>0</v>
      </c>
      <c r="J479" s="80" t="b">
        <v>0</v>
      </c>
      <c r="K479" s="80" t="b">
        <v>0</v>
      </c>
      <c r="L479" s="80" t="b">
        <v>0</v>
      </c>
    </row>
    <row r="480" spans="1:12" ht="15">
      <c r="A480" s="81" t="s">
        <v>2440</v>
      </c>
      <c r="B480" s="80" t="s">
        <v>2594</v>
      </c>
      <c r="C480" s="80">
        <v>2</v>
      </c>
      <c r="D480" s="104">
        <v>0.00047366098758412623</v>
      </c>
      <c r="E480" s="104">
        <v>2.8385342705118686</v>
      </c>
      <c r="F480" s="80" t="s">
        <v>3370</v>
      </c>
      <c r="G480" s="80" t="b">
        <v>0</v>
      </c>
      <c r="H480" s="80" t="b">
        <v>0</v>
      </c>
      <c r="I480" s="80" t="b">
        <v>0</v>
      </c>
      <c r="J480" s="80" t="b">
        <v>0</v>
      </c>
      <c r="K480" s="80" t="b">
        <v>0</v>
      </c>
      <c r="L480" s="80" t="b">
        <v>0</v>
      </c>
    </row>
    <row r="481" spans="1:12" ht="15">
      <c r="A481" s="81" t="s">
        <v>2824</v>
      </c>
      <c r="B481" s="80" t="s">
        <v>2730</v>
      </c>
      <c r="C481" s="80">
        <v>2</v>
      </c>
      <c r="D481" s="104">
        <v>0.00047366098758412623</v>
      </c>
      <c r="E481" s="104">
        <v>3.2645030027841497</v>
      </c>
      <c r="F481" s="80" t="s">
        <v>3370</v>
      </c>
      <c r="G481" s="80" t="b">
        <v>0</v>
      </c>
      <c r="H481" s="80" t="b">
        <v>0</v>
      </c>
      <c r="I481" s="80" t="b">
        <v>0</v>
      </c>
      <c r="J481" s="80" t="b">
        <v>0</v>
      </c>
      <c r="K481" s="80" t="b">
        <v>0</v>
      </c>
      <c r="L481" s="80" t="b">
        <v>0</v>
      </c>
    </row>
    <row r="482" spans="1:12" ht="15">
      <c r="A482" s="81" t="s">
        <v>2266</v>
      </c>
      <c r="B482" s="80" t="s">
        <v>2393</v>
      </c>
      <c r="C482" s="80">
        <v>2</v>
      </c>
      <c r="D482" s="104">
        <v>0.00040173028372176515</v>
      </c>
      <c r="E482" s="104">
        <v>2.060383020128225</v>
      </c>
      <c r="F482" s="80" t="s">
        <v>3370</v>
      </c>
      <c r="G482" s="80" t="b">
        <v>0</v>
      </c>
      <c r="H482" s="80" t="b">
        <v>0</v>
      </c>
      <c r="I482" s="80" t="b">
        <v>0</v>
      </c>
      <c r="J482" s="80" t="b">
        <v>0</v>
      </c>
      <c r="K482" s="80" t="b">
        <v>0</v>
      </c>
      <c r="L482" s="80" t="b">
        <v>0</v>
      </c>
    </row>
    <row r="483" spans="1:12" ht="15">
      <c r="A483" s="81" t="s">
        <v>2549</v>
      </c>
      <c r="B483" s="80" t="s">
        <v>2270</v>
      </c>
      <c r="C483" s="80">
        <v>2</v>
      </c>
      <c r="D483" s="104">
        <v>0.00040173028372176515</v>
      </c>
      <c r="E483" s="104">
        <v>2.289326586509182</v>
      </c>
      <c r="F483" s="80" t="s">
        <v>3370</v>
      </c>
      <c r="G483" s="80" t="b">
        <v>1</v>
      </c>
      <c r="H483" s="80" t="b">
        <v>0</v>
      </c>
      <c r="I483" s="80" t="b">
        <v>0</v>
      </c>
      <c r="J483" s="80" t="b">
        <v>0</v>
      </c>
      <c r="K483" s="80" t="b">
        <v>0</v>
      </c>
      <c r="L483" s="80" t="b">
        <v>0</v>
      </c>
    </row>
    <row r="484" spans="1:12" ht="15">
      <c r="A484" s="81" t="s">
        <v>2265</v>
      </c>
      <c r="B484" s="80" t="s">
        <v>2578</v>
      </c>
      <c r="C484" s="80">
        <v>2</v>
      </c>
      <c r="D484" s="104">
        <v>0.00040173028372176515</v>
      </c>
      <c r="E484" s="104">
        <v>2.3614130157922064</v>
      </c>
      <c r="F484" s="80" t="s">
        <v>3370</v>
      </c>
      <c r="G484" s="80" t="b">
        <v>0</v>
      </c>
      <c r="H484" s="80" t="b">
        <v>0</v>
      </c>
      <c r="I484" s="80" t="b">
        <v>0</v>
      </c>
      <c r="J484" s="80" t="b">
        <v>0</v>
      </c>
      <c r="K484" s="80" t="b">
        <v>0</v>
      </c>
      <c r="L484" s="80" t="b">
        <v>0</v>
      </c>
    </row>
    <row r="485" spans="1:12" ht="15">
      <c r="A485" s="81" t="s">
        <v>3283</v>
      </c>
      <c r="B485" s="80" t="s">
        <v>2419</v>
      </c>
      <c r="C485" s="80">
        <v>2</v>
      </c>
      <c r="D485" s="104">
        <v>0.00040173028372176515</v>
      </c>
      <c r="E485" s="104">
        <v>3.0726174765452368</v>
      </c>
      <c r="F485" s="80" t="s">
        <v>3370</v>
      </c>
      <c r="G485" s="80" t="b">
        <v>0</v>
      </c>
      <c r="H485" s="80" t="b">
        <v>0</v>
      </c>
      <c r="I485" s="80" t="b">
        <v>0</v>
      </c>
      <c r="J485" s="80" t="b">
        <v>0</v>
      </c>
      <c r="K485" s="80" t="b">
        <v>0</v>
      </c>
      <c r="L485" s="80" t="b">
        <v>0</v>
      </c>
    </row>
    <row r="486" spans="1:12" ht="15">
      <c r="A486" s="81" t="s">
        <v>2238</v>
      </c>
      <c r="B486" s="80" t="s">
        <v>2403</v>
      </c>
      <c r="C486" s="80">
        <v>2</v>
      </c>
      <c r="D486" s="104">
        <v>0.00040173028372176515</v>
      </c>
      <c r="E486" s="104">
        <v>1.8822857783749452</v>
      </c>
      <c r="F486" s="80" t="s">
        <v>3370</v>
      </c>
      <c r="G486" s="80" t="b">
        <v>0</v>
      </c>
      <c r="H486" s="80" t="b">
        <v>0</v>
      </c>
      <c r="I486" s="80" t="b">
        <v>0</v>
      </c>
      <c r="J486" s="80" t="b">
        <v>0</v>
      </c>
      <c r="K486" s="80" t="b">
        <v>0</v>
      </c>
      <c r="L486" s="80" t="b">
        <v>0</v>
      </c>
    </row>
    <row r="487" spans="1:12" ht="15">
      <c r="A487" s="81" t="s">
        <v>2285</v>
      </c>
      <c r="B487" s="80" t="s">
        <v>2228</v>
      </c>
      <c r="C487" s="80">
        <v>2</v>
      </c>
      <c r="D487" s="104">
        <v>0.00040173028372176515</v>
      </c>
      <c r="E487" s="104">
        <v>1.4628706565509833</v>
      </c>
      <c r="F487" s="80" t="s">
        <v>3370</v>
      </c>
      <c r="G487" s="80" t="b">
        <v>0</v>
      </c>
      <c r="H487" s="80" t="b">
        <v>0</v>
      </c>
      <c r="I487" s="80" t="b">
        <v>0</v>
      </c>
      <c r="J487" s="80" t="b">
        <v>0</v>
      </c>
      <c r="K487" s="80" t="b">
        <v>0</v>
      </c>
      <c r="L487" s="80" t="b">
        <v>0</v>
      </c>
    </row>
    <row r="488" spans="1:12" ht="15">
      <c r="A488" s="81" t="s">
        <v>3120</v>
      </c>
      <c r="B488" s="80" t="s">
        <v>3315</v>
      </c>
      <c r="C488" s="80">
        <v>2</v>
      </c>
      <c r="D488" s="104">
        <v>0.00040173028372176515</v>
      </c>
      <c r="E488" s="104">
        <v>3.616685520895512</v>
      </c>
      <c r="F488" s="80" t="s">
        <v>3370</v>
      </c>
      <c r="G488" s="80" t="b">
        <v>0</v>
      </c>
      <c r="H488" s="80" t="b">
        <v>0</v>
      </c>
      <c r="I488" s="80" t="b">
        <v>0</v>
      </c>
      <c r="J488" s="80" t="b">
        <v>0</v>
      </c>
      <c r="K488" s="80" t="b">
        <v>0</v>
      </c>
      <c r="L488" s="80" t="b">
        <v>0</v>
      </c>
    </row>
    <row r="489" spans="1:12" ht="15">
      <c r="A489" s="81" t="s">
        <v>2687</v>
      </c>
      <c r="B489" s="80" t="s">
        <v>2655</v>
      </c>
      <c r="C489" s="80">
        <v>2</v>
      </c>
      <c r="D489" s="104">
        <v>0.00040173028372176515</v>
      </c>
      <c r="E489" s="104">
        <v>3.13956426617585</v>
      </c>
      <c r="F489" s="80" t="s">
        <v>3370</v>
      </c>
      <c r="G489" s="80" t="b">
        <v>0</v>
      </c>
      <c r="H489" s="80" t="b">
        <v>0</v>
      </c>
      <c r="I489" s="80" t="b">
        <v>0</v>
      </c>
      <c r="J489" s="80" t="b">
        <v>0</v>
      </c>
      <c r="K489" s="80" t="b">
        <v>0</v>
      </c>
      <c r="L489" s="80" t="b">
        <v>0</v>
      </c>
    </row>
    <row r="490" spans="1:12" ht="15">
      <c r="A490" s="81" t="s">
        <v>2301</v>
      </c>
      <c r="B490" s="80" t="s">
        <v>2314</v>
      </c>
      <c r="C490" s="80">
        <v>2</v>
      </c>
      <c r="D490" s="104">
        <v>0.00040173028372176515</v>
      </c>
      <c r="E490" s="104">
        <v>1.9586741242383998</v>
      </c>
      <c r="F490" s="80" t="s">
        <v>3370</v>
      </c>
      <c r="G490" s="80" t="b">
        <v>0</v>
      </c>
      <c r="H490" s="80" t="b">
        <v>0</v>
      </c>
      <c r="I490" s="80" t="b">
        <v>0</v>
      </c>
      <c r="J490" s="80" t="b">
        <v>0</v>
      </c>
      <c r="K490" s="80" t="b">
        <v>0</v>
      </c>
      <c r="L490" s="80" t="b">
        <v>0</v>
      </c>
    </row>
    <row r="491" spans="1:12" ht="15">
      <c r="A491" s="81" t="s">
        <v>2565</v>
      </c>
      <c r="B491" s="80" t="s">
        <v>2262</v>
      </c>
      <c r="C491" s="80">
        <v>2</v>
      </c>
      <c r="D491" s="104">
        <v>0.00047366098758412623</v>
      </c>
      <c r="E491" s="104">
        <v>2.241021906934627</v>
      </c>
      <c r="F491" s="80" t="s">
        <v>3370</v>
      </c>
      <c r="G491" s="80" t="b">
        <v>0</v>
      </c>
      <c r="H491" s="80" t="b">
        <v>0</v>
      </c>
      <c r="I491" s="80" t="b">
        <v>0</v>
      </c>
      <c r="J491" s="80" t="b">
        <v>0</v>
      </c>
      <c r="K491" s="80" t="b">
        <v>0</v>
      </c>
      <c r="L491" s="80" t="b">
        <v>0</v>
      </c>
    </row>
    <row r="492" spans="1:12" ht="15">
      <c r="A492" s="81" t="s">
        <v>2877</v>
      </c>
      <c r="B492" s="80" t="s">
        <v>3333</v>
      </c>
      <c r="C492" s="80">
        <v>2</v>
      </c>
      <c r="D492" s="104">
        <v>0.00047366098758412623</v>
      </c>
      <c r="E492" s="104">
        <v>3.440594261839831</v>
      </c>
      <c r="F492" s="80" t="s">
        <v>3370</v>
      </c>
      <c r="G492" s="80" t="b">
        <v>0</v>
      </c>
      <c r="H492" s="80" t="b">
        <v>0</v>
      </c>
      <c r="I492" s="80" t="b">
        <v>0</v>
      </c>
      <c r="J492" s="80" t="b">
        <v>0</v>
      </c>
      <c r="K492" s="80" t="b">
        <v>0</v>
      </c>
      <c r="L492" s="80" t="b">
        <v>0</v>
      </c>
    </row>
    <row r="493" spans="1:12" ht="15">
      <c r="A493" s="81" t="s">
        <v>2759</v>
      </c>
      <c r="B493" s="80" t="s">
        <v>2243</v>
      </c>
      <c r="C493" s="80">
        <v>2</v>
      </c>
      <c r="D493" s="104">
        <v>0.00047366098758412623</v>
      </c>
      <c r="E493" s="104">
        <v>2.294466226161593</v>
      </c>
      <c r="F493" s="80" t="s">
        <v>3370</v>
      </c>
      <c r="G493" s="80" t="b">
        <v>0</v>
      </c>
      <c r="H493" s="80" t="b">
        <v>0</v>
      </c>
      <c r="I493" s="80" t="b">
        <v>0</v>
      </c>
      <c r="J493" s="80" t="b">
        <v>0</v>
      </c>
      <c r="K493" s="80" t="b">
        <v>0</v>
      </c>
      <c r="L493" s="80" t="b">
        <v>0</v>
      </c>
    </row>
    <row r="494" spans="1:12" ht="15">
      <c r="A494" s="81" t="s">
        <v>2419</v>
      </c>
      <c r="B494" s="80" t="s">
        <v>2722</v>
      </c>
      <c r="C494" s="80">
        <v>2</v>
      </c>
      <c r="D494" s="104">
        <v>0.00040173028372176515</v>
      </c>
      <c r="E494" s="104">
        <v>2.8965262174895554</v>
      </c>
      <c r="F494" s="80" t="s">
        <v>3370</v>
      </c>
      <c r="G494" s="80" t="b">
        <v>0</v>
      </c>
      <c r="H494" s="80" t="b">
        <v>0</v>
      </c>
      <c r="I494" s="80" t="b">
        <v>0</v>
      </c>
      <c r="J494" s="80" t="b">
        <v>0</v>
      </c>
      <c r="K494" s="80" t="b">
        <v>0</v>
      </c>
      <c r="L494" s="80" t="b">
        <v>0</v>
      </c>
    </row>
    <row r="495" spans="1:12" ht="15">
      <c r="A495" s="81" t="s">
        <v>2264</v>
      </c>
      <c r="B495" s="80" t="s">
        <v>2219</v>
      </c>
      <c r="C495" s="80">
        <v>2</v>
      </c>
      <c r="D495" s="104">
        <v>0.00040173028372176515</v>
      </c>
      <c r="E495" s="104">
        <v>1.1926209954780245</v>
      </c>
      <c r="F495" s="80" t="s">
        <v>3370</v>
      </c>
      <c r="G495" s="80" t="b">
        <v>0</v>
      </c>
      <c r="H495" s="80" t="b">
        <v>0</v>
      </c>
      <c r="I495" s="80" t="b">
        <v>0</v>
      </c>
      <c r="J495" s="80" t="b">
        <v>0</v>
      </c>
      <c r="K495" s="80" t="b">
        <v>0</v>
      </c>
      <c r="L495" s="80" t="b">
        <v>0</v>
      </c>
    </row>
    <row r="496" spans="1:12" ht="15">
      <c r="A496" s="81" t="s">
        <v>3025</v>
      </c>
      <c r="B496" s="80" t="s">
        <v>2319</v>
      </c>
      <c r="C496" s="80">
        <v>2</v>
      </c>
      <c r="D496" s="104">
        <v>0.00047366098758412623</v>
      </c>
      <c r="E496" s="104">
        <v>2.8037721642526567</v>
      </c>
      <c r="F496" s="80" t="s">
        <v>3370</v>
      </c>
      <c r="G496" s="80" t="b">
        <v>0</v>
      </c>
      <c r="H496" s="80" t="b">
        <v>0</v>
      </c>
      <c r="I496" s="80" t="b">
        <v>0</v>
      </c>
      <c r="J496" s="80" t="b">
        <v>0</v>
      </c>
      <c r="K496" s="80" t="b">
        <v>0</v>
      </c>
      <c r="L496" s="80" t="b">
        <v>0</v>
      </c>
    </row>
    <row r="497" spans="1:12" ht="15">
      <c r="A497" s="81" t="s">
        <v>2348</v>
      </c>
      <c r="B497" s="80" t="s">
        <v>2225</v>
      </c>
      <c r="C497" s="80">
        <v>2</v>
      </c>
      <c r="D497" s="104">
        <v>0.00040173028372176515</v>
      </c>
      <c r="E497" s="104">
        <v>1.5375042748478873</v>
      </c>
      <c r="F497" s="80" t="s">
        <v>3370</v>
      </c>
      <c r="G497" s="80" t="b">
        <v>0</v>
      </c>
      <c r="H497" s="80" t="b">
        <v>0</v>
      </c>
      <c r="I497" s="80" t="b">
        <v>0</v>
      </c>
      <c r="J497" s="80" t="b">
        <v>0</v>
      </c>
      <c r="K497" s="80" t="b">
        <v>0</v>
      </c>
      <c r="L497" s="80" t="b">
        <v>0</v>
      </c>
    </row>
    <row r="498" spans="1:12" ht="15">
      <c r="A498" s="81" t="s">
        <v>3010</v>
      </c>
      <c r="B498" s="80" t="s">
        <v>2733</v>
      </c>
      <c r="C498" s="80">
        <v>2</v>
      </c>
      <c r="D498" s="104">
        <v>0.00047366098758412623</v>
      </c>
      <c r="E498" s="104">
        <v>3.440594261839831</v>
      </c>
      <c r="F498" s="80" t="s">
        <v>3370</v>
      </c>
      <c r="G498" s="80" t="b">
        <v>0</v>
      </c>
      <c r="H498" s="80" t="b">
        <v>0</v>
      </c>
      <c r="I498" s="80" t="b">
        <v>0</v>
      </c>
      <c r="J498" s="80" t="b">
        <v>0</v>
      </c>
      <c r="K498" s="80" t="b">
        <v>0</v>
      </c>
      <c r="L498" s="80" t="b">
        <v>0</v>
      </c>
    </row>
    <row r="499" spans="1:12" ht="15">
      <c r="A499" s="81" t="s">
        <v>3018</v>
      </c>
      <c r="B499" s="80" t="s">
        <v>3065</v>
      </c>
      <c r="C499" s="80">
        <v>2</v>
      </c>
      <c r="D499" s="104">
        <v>0.00047366098758412623</v>
      </c>
      <c r="E499" s="104">
        <v>3.616685520895512</v>
      </c>
      <c r="F499" s="80" t="s">
        <v>3370</v>
      </c>
      <c r="G499" s="80" t="b">
        <v>0</v>
      </c>
      <c r="H499" s="80" t="b">
        <v>0</v>
      </c>
      <c r="I499" s="80" t="b">
        <v>0</v>
      </c>
      <c r="J499" s="80" t="b">
        <v>0</v>
      </c>
      <c r="K499" s="80" t="b">
        <v>0</v>
      </c>
      <c r="L499" s="80" t="b">
        <v>0</v>
      </c>
    </row>
    <row r="500" spans="1:12" ht="15">
      <c r="A500" s="81" t="s">
        <v>3004</v>
      </c>
      <c r="B500" s="80" t="s">
        <v>2782</v>
      </c>
      <c r="C500" s="80">
        <v>2</v>
      </c>
      <c r="D500" s="104">
        <v>0.00047366098758412623</v>
      </c>
      <c r="E500" s="104">
        <v>3.440594261839831</v>
      </c>
      <c r="F500" s="80" t="s">
        <v>3370</v>
      </c>
      <c r="G500" s="80" t="b">
        <v>0</v>
      </c>
      <c r="H500" s="80" t="b">
        <v>0</v>
      </c>
      <c r="I500" s="80" t="b">
        <v>0</v>
      </c>
      <c r="J500" s="80" t="b">
        <v>0</v>
      </c>
      <c r="K500" s="80" t="b">
        <v>0</v>
      </c>
      <c r="L500" s="80" t="b">
        <v>0</v>
      </c>
    </row>
    <row r="501" spans="1:12" ht="15">
      <c r="A501" s="81" t="s">
        <v>2720</v>
      </c>
      <c r="B501" s="80" t="s">
        <v>3240</v>
      </c>
      <c r="C501" s="80">
        <v>2</v>
      </c>
      <c r="D501" s="104">
        <v>0.00047366098758412623</v>
      </c>
      <c r="E501" s="104">
        <v>3.440594261839831</v>
      </c>
      <c r="F501" s="80" t="s">
        <v>3370</v>
      </c>
      <c r="G501" s="80" t="b">
        <v>0</v>
      </c>
      <c r="H501" s="80" t="b">
        <v>0</v>
      </c>
      <c r="I501" s="80" t="b">
        <v>0</v>
      </c>
      <c r="J501" s="80" t="b">
        <v>0</v>
      </c>
      <c r="K501" s="80" t="b">
        <v>0</v>
      </c>
      <c r="L501" s="80" t="b">
        <v>0</v>
      </c>
    </row>
    <row r="502" spans="1:12" ht="15">
      <c r="A502" s="81" t="s">
        <v>2682</v>
      </c>
      <c r="B502" s="80" t="s">
        <v>2425</v>
      </c>
      <c r="C502" s="80">
        <v>2</v>
      </c>
      <c r="D502" s="104">
        <v>0.00040173028372176515</v>
      </c>
      <c r="E502" s="104">
        <v>2.7715874808812555</v>
      </c>
      <c r="F502" s="80" t="s">
        <v>3370</v>
      </c>
      <c r="G502" s="80" t="b">
        <v>0</v>
      </c>
      <c r="H502" s="80" t="b">
        <v>0</v>
      </c>
      <c r="I502" s="80" t="b">
        <v>0</v>
      </c>
      <c r="J502" s="80" t="b">
        <v>0</v>
      </c>
      <c r="K502" s="80" t="b">
        <v>0</v>
      </c>
      <c r="L502" s="80" t="b">
        <v>0</v>
      </c>
    </row>
    <row r="503" spans="1:12" ht="15">
      <c r="A503" s="81" t="s">
        <v>3173</v>
      </c>
      <c r="B503" s="80" t="s">
        <v>2459</v>
      </c>
      <c r="C503" s="80">
        <v>2</v>
      </c>
      <c r="D503" s="104">
        <v>0.00040173028372176515</v>
      </c>
      <c r="E503" s="104">
        <v>3.13956426617585</v>
      </c>
      <c r="F503" s="80" t="s">
        <v>3370</v>
      </c>
      <c r="G503" s="80" t="b">
        <v>0</v>
      </c>
      <c r="H503" s="80" t="b">
        <v>0</v>
      </c>
      <c r="I503" s="80" t="b">
        <v>0</v>
      </c>
      <c r="J503" s="80" t="b">
        <v>0</v>
      </c>
      <c r="K503" s="80" t="b">
        <v>0</v>
      </c>
      <c r="L503" s="80" t="b">
        <v>0</v>
      </c>
    </row>
    <row r="504" spans="1:12" ht="15">
      <c r="A504" s="81" t="s">
        <v>2682</v>
      </c>
      <c r="B504" s="80" t="s">
        <v>3249</v>
      </c>
      <c r="C504" s="80">
        <v>2</v>
      </c>
      <c r="D504" s="104">
        <v>0.00040173028372176515</v>
      </c>
      <c r="E504" s="104">
        <v>3.315655525231531</v>
      </c>
      <c r="F504" s="80" t="s">
        <v>3370</v>
      </c>
      <c r="G504" s="80" t="b">
        <v>0</v>
      </c>
      <c r="H504" s="80" t="b">
        <v>0</v>
      </c>
      <c r="I504" s="80" t="b">
        <v>0</v>
      </c>
      <c r="J504" s="80" t="b">
        <v>0</v>
      </c>
      <c r="K504" s="80" t="b">
        <v>0</v>
      </c>
      <c r="L504" s="80" t="b">
        <v>0</v>
      </c>
    </row>
    <row r="505" spans="1:12" ht="15">
      <c r="A505" s="81" t="s">
        <v>2737</v>
      </c>
      <c r="B505" s="80" t="s">
        <v>2824</v>
      </c>
      <c r="C505" s="80">
        <v>2</v>
      </c>
      <c r="D505" s="104">
        <v>0.00047366098758412623</v>
      </c>
      <c r="E505" s="104">
        <v>3.2645030027841497</v>
      </c>
      <c r="F505" s="80" t="s">
        <v>3370</v>
      </c>
      <c r="G505" s="80" t="b">
        <v>0</v>
      </c>
      <c r="H505" s="80" t="b">
        <v>0</v>
      </c>
      <c r="I505" s="80" t="b">
        <v>0</v>
      </c>
      <c r="J505" s="80" t="b">
        <v>0</v>
      </c>
      <c r="K505" s="80" t="b">
        <v>0</v>
      </c>
      <c r="L505" s="80" t="b">
        <v>0</v>
      </c>
    </row>
    <row r="506" spans="1:12" ht="15">
      <c r="A506" s="81" t="s">
        <v>2669</v>
      </c>
      <c r="B506" s="80" t="s">
        <v>3229</v>
      </c>
      <c r="C506" s="80">
        <v>2</v>
      </c>
      <c r="D506" s="104">
        <v>0.00040173028372176515</v>
      </c>
      <c r="E506" s="104">
        <v>3.315655525231531</v>
      </c>
      <c r="F506" s="80" t="s">
        <v>3370</v>
      </c>
      <c r="G506" s="80" t="b">
        <v>0</v>
      </c>
      <c r="H506" s="80" t="b">
        <v>0</v>
      </c>
      <c r="I506" s="80" t="b">
        <v>0</v>
      </c>
      <c r="J506" s="80" t="b">
        <v>0</v>
      </c>
      <c r="K506" s="80" t="b">
        <v>0</v>
      </c>
      <c r="L506" s="80" t="b">
        <v>0</v>
      </c>
    </row>
    <row r="507" spans="1:12" ht="15">
      <c r="A507" s="81" t="s">
        <v>2213</v>
      </c>
      <c r="B507" s="80" t="s">
        <v>2280</v>
      </c>
      <c r="C507" s="80">
        <v>2</v>
      </c>
      <c r="D507" s="104">
        <v>0.00040173028372176515</v>
      </c>
      <c r="E507" s="104">
        <v>0.890773888600464</v>
      </c>
      <c r="F507" s="80" t="s">
        <v>3370</v>
      </c>
      <c r="G507" s="80" t="b">
        <v>0</v>
      </c>
      <c r="H507" s="80" t="b">
        <v>0</v>
      </c>
      <c r="I507" s="80" t="b">
        <v>0</v>
      </c>
      <c r="J507" s="80" t="b">
        <v>0</v>
      </c>
      <c r="K507" s="80" t="b">
        <v>0</v>
      </c>
      <c r="L507" s="80" t="b">
        <v>0</v>
      </c>
    </row>
    <row r="508" spans="1:12" ht="15">
      <c r="A508" s="81" t="s">
        <v>2728</v>
      </c>
      <c r="B508" s="80" t="s">
        <v>3015</v>
      </c>
      <c r="C508" s="80">
        <v>2</v>
      </c>
      <c r="D508" s="104">
        <v>0.00040173028372176515</v>
      </c>
      <c r="E508" s="104">
        <v>3.616685520895512</v>
      </c>
      <c r="F508" s="80" t="s">
        <v>3370</v>
      </c>
      <c r="G508" s="80" t="b">
        <v>0</v>
      </c>
      <c r="H508" s="80" t="b">
        <v>0</v>
      </c>
      <c r="I508" s="80" t="b">
        <v>0</v>
      </c>
      <c r="J508" s="80" t="b">
        <v>0</v>
      </c>
      <c r="K508" s="80" t="b">
        <v>0</v>
      </c>
      <c r="L508" s="80" t="b">
        <v>0</v>
      </c>
    </row>
    <row r="509" spans="1:12" ht="15">
      <c r="A509" s="81" t="s">
        <v>2272</v>
      </c>
      <c r="B509" s="80" t="s">
        <v>3226</v>
      </c>
      <c r="C509" s="80">
        <v>2</v>
      </c>
      <c r="D509" s="104">
        <v>0.00040173028372176515</v>
      </c>
      <c r="E509" s="104">
        <v>2.7135955339035687</v>
      </c>
      <c r="F509" s="80" t="s">
        <v>3370</v>
      </c>
      <c r="G509" s="80" t="b">
        <v>0</v>
      </c>
      <c r="H509" s="80" t="b">
        <v>0</v>
      </c>
      <c r="I509" s="80" t="b">
        <v>0</v>
      </c>
      <c r="J509" s="80" t="b">
        <v>0</v>
      </c>
      <c r="K509" s="80" t="b">
        <v>0</v>
      </c>
      <c r="L509" s="80" t="b">
        <v>0</v>
      </c>
    </row>
    <row r="510" spans="1:12" ht="15">
      <c r="A510" s="81" t="s">
        <v>2577</v>
      </c>
      <c r="B510" s="80" t="s">
        <v>2724</v>
      </c>
      <c r="C510" s="80">
        <v>2</v>
      </c>
      <c r="D510" s="104">
        <v>0.00047366098758412623</v>
      </c>
      <c r="E510" s="104">
        <v>3.13956426617585</v>
      </c>
      <c r="F510" s="80" t="s">
        <v>3370</v>
      </c>
      <c r="G510" s="80" t="b">
        <v>0</v>
      </c>
      <c r="H510" s="80" t="b">
        <v>0</v>
      </c>
      <c r="I510" s="80" t="b">
        <v>0</v>
      </c>
      <c r="J510" s="80" t="b">
        <v>0</v>
      </c>
      <c r="K510" s="80" t="b">
        <v>0</v>
      </c>
      <c r="L510" s="80" t="b">
        <v>0</v>
      </c>
    </row>
    <row r="511" spans="1:12" ht="15">
      <c r="A511" s="81" t="s">
        <v>2332</v>
      </c>
      <c r="B511" s="80" t="s">
        <v>2230</v>
      </c>
      <c r="C511" s="80">
        <v>2</v>
      </c>
      <c r="D511" s="104">
        <v>0.00040173028372176515</v>
      </c>
      <c r="E511" s="104">
        <v>1.5645689703455141</v>
      </c>
      <c r="F511" s="80" t="s">
        <v>3370</v>
      </c>
      <c r="G511" s="80" t="b">
        <v>0</v>
      </c>
      <c r="H511" s="80" t="b">
        <v>0</v>
      </c>
      <c r="I511" s="80" t="b">
        <v>0</v>
      </c>
      <c r="J511" s="80" t="b">
        <v>0</v>
      </c>
      <c r="K511" s="80" t="b">
        <v>0</v>
      </c>
      <c r="L511" s="80" t="b">
        <v>0</v>
      </c>
    </row>
    <row r="512" spans="1:12" ht="15">
      <c r="A512" s="81" t="s">
        <v>3015</v>
      </c>
      <c r="B512" s="80" t="s">
        <v>2822</v>
      </c>
      <c r="C512" s="80">
        <v>2</v>
      </c>
      <c r="D512" s="104">
        <v>0.00040173028372176515</v>
      </c>
      <c r="E512" s="104">
        <v>3.440594261839831</v>
      </c>
      <c r="F512" s="80" t="s">
        <v>3370</v>
      </c>
      <c r="G512" s="80" t="b">
        <v>0</v>
      </c>
      <c r="H512" s="80" t="b">
        <v>0</v>
      </c>
      <c r="I512" s="80" t="b">
        <v>0</v>
      </c>
      <c r="J512" s="80" t="b">
        <v>0</v>
      </c>
      <c r="K512" s="80" t="b">
        <v>0</v>
      </c>
      <c r="L512" s="80" t="b">
        <v>0</v>
      </c>
    </row>
    <row r="513" spans="1:12" ht="15">
      <c r="A513" s="81" t="s">
        <v>2214</v>
      </c>
      <c r="B513" s="80" t="s">
        <v>3125</v>
      </c>
      <c r="C513" s="80">
        <v>2</v>
      </c>
      <c r="D513" s="104">
        <v>0.00040173028372176515</v>
      </c>
      <c r="E513" s="104">
        <v>1.8608106652230207</v>
      </c>
      <c r="F513" s="80" t="s">
        <v>3370</v>
      </c>
      <c r="G513" s="80" t="b">
        <v>0</v>
      </c>
      <c r="H513" s="80" t="b">
        <v>0</v>
      </c>
      <c r="I513" s="80" t="b">
        <v>0</v>
      </c>
      <c r="J513" s="80" t="b">
        <v>0</v>
      </c>
      <c r="K513" s="80" t="b">
        <v>0</v>
      </c>
      <c r="L513" s="80" t="b">
        <v>0</v>
      </c>
    </row>
    <row r="514" spans="1:12" ht="15">
      <c r="A514" s="81" t="s">
        <v>2283</v>
      </c>
      <c r="B514" s="80" t="s">
        <v>2412</v>
      </c>
      <c r="C514" s="80">
        <v>2</v>
      </c>
      <c r="D514" s="104">
        <v>0.00040173028372176515</v>
      </c>
      <c r="E514" s="104">
        <v>2.1975562131535367</v>
      </c>
      <c r="F514" s="80" t="s">
        <v>3370</v>
      </c>
      <c r="G514" s="80" t="b">
        <v>0</v>
      </c>
      <c r="H514" s="80" t="b">
        <v>0</v>
      </c>
      <c r="I514" s="80" t="b">
        <v>0</v>
      </c>
      <c r="J514" s="80" t="b">
        <v>0</v>
      </c>
      <c r="K514" s="80" t="b">
        <v>0</v>
      </c>
      <c r="L514" s="80" t="b">
        <v>0</v>
      </c>
    </row>
    <row r="515" spans="1:12" ht="15">
      <c r="A515" s="81" t="s">
        <v>2498</v>
      </c>
      <c r="B515" s="80" t="s">
        <v>2402</v>
      </c>
      <c r="C515" s="80">
        <v>2</v>
      </c>
      <c r="D515" s="104">
        <v>0.00047366098758412623</v>
      </c>
      <c r="E515" s="104">
        <v>2.674677467873199</v>
      </c>
      <c r="F515" s="80" t="s">
        <v>3370</v>
      </c>
      <c r="G515" s="80" t="b">
        <v>0</v>
      </c>
      <c r="H515" s="80" t="b">
        <v>0</v>
      </c>
      <c r="I515" s="80" t="b">
        <v>0</v>
      </c>
      <c r="J515" s="80" t="b">
        <v>0</v>
      </c>
      <c r="K515" s="80" t="b">
        <v>0</v>
      </c>
      <c r="L515" s="80" t="b">
        <v>0</v>
      </c>
    </row>
    <row r="516" spans="1:12" ht="15">
      <c r="A516" s="81" t="s">
        <v>2217</v>
      </c>
      <c r="B516" s="80" t="s">
        <v>2242</v>
      </c>
      <c r="C516" s="80">
        <v>2</v>
      </c>
      <c r="D516" s="104">
        <v>0.00040173028372176515</v>
      </c>
      <c r="E516" s="104">
        <v>0.9586741242383998</v>
      </c>
      <c r="F516" s="80" t="s">
        <v>3370</v>
      </c>
      <c r="G516" s="80" t="b">
        <v>0</v>
      </c>
      <c r="H516" s="80" t="b">
        <v>0</v>
      </c>
      <c r="I516" s="80" t="b">
        <v>0</v>
      </c>
      <c r="J516" s="80" t="b">
        <v>0</v>
      </c>
      <c r="K516" s="80" t="b">
        <v>0</v>
      </c>
      <c r="L516" s="80" t="b">
        <v>0</v>
      </c>
    </row>
    <row r="517" spans="1:12" ht="15">
      <c r="A517" s="81" t="s">
        <v>2230</v>
      </c>
      <c r="B517" s="80" t="s">
        <v>2363</v>
      </c>
      <c r="C517" s="80">
        <v>2</v>
      </c>
      <c r="D517" s="104">
        <v>0.00047366098758412623</v>
      </c>
      <c r="E517" s="104">
        <v>1.6517191460644143</v>
      </c>
      <c r="F517" s="80" t="s">
        <v>3370</v>
      </c>
      <c r="G517" s="80" t="b">
        <v>0</v>
      </c>
      <c r="H517" s="80" t="b">
        <v>0</v>
      </c>
      <c r="I517" s="80" t="b">
        <v>0</v>
      </c>
      <c r="J517" s="80" t="b">
        <v>0</v>
      </c>
      <c r="K517" s="80" t="b">
        <v>0</v>
      </c>
      <c r="L517" s="80" t="b">
        <v>0</v>
      </c>
    </row>
    <row r="518" spans="1:12" ht="15">
      <c r="A518" s="81" t="s">
        <v>2481</v>
      </c>
      <c r="B518" s="80" t="s">
        <v>2349</v>
      </c>
      <c r="C518" s="80">
        <v>2</v>
      </c>
      <c r="D518" s="104">
        <v>0.00047366098758412623</v>
      </c>
      <c r="E518" s="104">
        <v>2.440594261839831</v>
      </c>
      <c r="F518" s="80" t="s">
        <v>3370</v>
      </c>
      <c r="G518" s="80" t="b">
        <v>0</v>
      </c>
      <c r="H518" s="80" t="b">
        <v>0</v>
      </c>
      <c r="I518" s="80" t="b">
        <v>0</v>
      </c>
      <c r="J518" s="80" t="b">
        <v>0</v>
      </c>
      <c r="K518" s="80" t="b">
        <v>0</v>
      </c>
      <c r="L518" s="80" t="b">
        <v>0</v>
      </c>
    </row>
    <row r="519" spans="1:12" ht="15">
      <c r="A519" s="81" t="s">
        <v>3171</v>
      </c>
      <c r="B519" s="80" t="s">
        <v>2810</v>
      </c>
      <c r="C519" s="80">
        <v>2</v>
      </c>
      <c r="D519" s="104">
        <v>0.00040173028372176515</v>
      </c>
      <c r="E519" s="104">
        <v>3.440594261839831</v>
      </c>
      <c r="F519" s="80" t="s">
        <v>3370</v>
      </c>
      <c r="G519" s="80" t="b">
        <v>0</v>
      </c>
      <c r="H519" s="80" t="b">
        <v>0</v>
      </c>
      <c r="I519" s="80" t="b">
        <v>0</v>
      </c>
      <c r="J519" s="80" t="b">
        <v>0</v>
      </c>
      <c r="K519" s="80" t="b">
        <v>0</v>
      </c>
      <c r="L519" s="80" t="b">
        <v>0</v>
      </c>
    </row>
    <row r="520" spans="1:12" ht="15">
      <c r="A520" s="81" t="s">
        <v>2756</v>
      </c>
      <c r="B520" s="80" t="s">
        <v>2800</v>
      </c>
      <c r="C520" s="80">
        <v>2</v>
      </c>
      <c r="D520" s="104">
        <v>0.00047366098758412623</v>
      </c>
      <c r="E520" s="104">
        <v>3.2645030027841497</v>
      </c>
      <c r="F520" s="80" t="s">
        <v>3370</v>
      </c>
      <c r="G520" s="80" t="b">
        <v>0</v>
      </c>
      <c r="H520" s="80" t="b">
        <v>0</v>
      </c>
      <c r="I520" s="80" t="b">
        <v>0</v>
      </c>
      <c r="J520" s="80" t="b">
        <v>0</v>
      </c>
      <c r="K520" s="80" t="b">
        <v>0</v>
      </c>
      <c r="L520" s="80" t="b">
        <v>0</v>
      </c>
    </row>
    <row r="521" spans="1:12" ht="15">
      <c r="A521" s="81" t="s">
        <v>2792</v>
      </c>
      <c r="B521" s="80" t="s">
        <v>2597</v>
      </c>
      <c r="C521" s="80">
        <v>2</v>
      </c>
      <c r="D521" s="104">
        <v>0.00040173028372176515</v>
      </c>
      <c r="E521" s="104">
        <v>3.13956426617585</v>
      </c>
      <c r="F521" s="80" t="s">
        <v>3370</v>
      </c>
      <c r="G521" s="80" t="b">
        <v>0</v>
      </c>
      <c r="H521" s="80" t="b">
        <v>0</v>
      </c>
      <c r="I521" s="80" t="b">
        <v>0</v>
      </c>
      <c r="J521" s="80" t="b">
        <v>0</v>
      </c>
      <c r="K521" s="80" t="b">
        <v>0</v>
      </c>
      <c r="L521" s="80" t="b">
        <v>0</v>
      </c>
    </row>
    <row r="522" spans="1:12" ht="15">
      <c r="A522" s="81" t="s">
        <v>2600</v>
      </c>
      <c r="B522" s="80" t="s">
        <v>2670</v>
      </c>
      <c r="C522" s="80">
        <v>2</v>
      </c>
      <c r="D522" s="104">
        <v>0.00040173028372176515</v>
      </c>
      <c r="E522" s="104">
        <v>3.01462552956755</v>
      </c>
      <c r="F522" s="80" t="s">
        <v>3370</v>
      </c>
      <c r="G522" s="80" t="b">
        <v>0</v>
      </c>
      <c r="H522" s="80" t="b">
        <v>0</v>
      </c>
      <c r="I522" s="80" t="b">
        <v>0</v>
      </c>
      <c r="J522" s="80" t="b">
        <v>0</v>
      </c>
      <c r="K522" s="80" t="b">
        <v>0</v>
      </c>
      <c r="L522" s="80" t="b">
        <v>0</v>
      </c>
    </row>
    <row r="523" spans="1:12" ht="15">
      <c r="A523" s="81" t="s">
        <v>2474</v>
      </c>
      <c r="B523" s="80" t="s">
        <v>2476</v>
      </c>
      <c r="C523" s="80">
        <v>2</v>
      </c>
      <c r="D523" s="104">
        <v>0.00040173028372176515</v>
      </c>
      <c r="E523" s="104">
        <v>2.6624430114561872</v>
      </c>
      <c r="F523" s="80" t="s">
        <v>3370</v>
      </c>
      <c r="G523" s="80" t="b">
        <v>0</v>
      </c>
      <c r="H523" s="80" t="b">
        <v>0</v>
      </c>
      <c r="I523" s="80" t="b">
        <v>0</v>
      </c>
      <c r="J523" s="80" t="b">
        <v>0</v>
      </c>
      <c r="K523" s="80" t="b">
        <v>0</v>
      </c>
      <c r="L523" s="80" t="b">
        <v>0</v>
      </c>
    </row>
    <row r="524" spans="1:12" ht="15">
      <c r="A524" s="81" t="s">
        <v>2620</v>
      </c>
      <c r="B524" s="80" t="s">
        <v>2742</v>
      </c>
      <c r="C524" s="80">
        <v>2</v>
      </c>
      <c r="D524" s="104">
        <v>0.00040173028372176515</v>
      </c>
      <c r="E524" s="104">
        <v>3.13956426617585</v>
      </c>
      <c r="F524" s="80" t="s">
        <v>3370</v>
      </c>
      <c r="G524" s="80" t="b">
        <v>0</v>
      </c>
      <c r="H524" s="80" t="b">
        <v>0</v>
      </c>
      <c r="I524" s="80" t="b">
        <v>0</v>
      </c>
      <c r="J524" s="80" t="b">
        <v>0</v>
      </c>
      <c r="K524" s="80" t="b">
        <v>0</v>
      </c>
      <c r="L524" s="80" t="b">
        <v>0</v>
      </c>
    </row>
    <row r="525" spans="1:12" ht="15">
      <c r="A525" s="81" t="s">
        <v>2224</v>
      </c>
      <c r="B525" s="80" t="s">
        <v>2378</v>
      </c>
      <c r="C525" s="80">
        <v>2</v>
      </c>
      <c r="D525" s="104">
        <v>0.00040173028372176515</v>
      </c>
      <c r="E525" s="104">
        <v>1.6166855208955122</v>
      </c>
      <c r="F525" s="80" t="s">
        <v>3370</v>
      </c>
      <c r="G525" s="80" t="b">
        <v>0</v>
      </c>
      <c r="H525" s="80" t="b">
        <v>0</v>
      </c>
      <c r="I525" s="80" t="b">
        <v>0</v>
      </c>
      <c r="J525" s="80" t="b">
        <v>0</v>
      </c>
      <c r="K525" s="80" t="b">
        <v>1</v>
      </c>
      <c r="L525" s="80" t="b">
        <v>0</v>
      </c>
    </row>
    <row r="526" spans="1:12" ht="15">
      <c r="A526" s="81" t="s">
        <v>2251</v>
      </c>
      <c r="B526" s="80" t="s">
        <v>2244</v>
      </c>
      <c r="C526" s="80">
        <v>2</v>
      </c>
      <c r="D526" s="104">
        <v>0.00047366098758412623</v>
      </c>
      <c r="E526" s="104">
        <v>1.4291648000590491</v>
      </c>
      <c r="F526" s="80" t="s">
        <v>3370</v>
      </c>
      <c r="G526" s="80" t="b">
        <v>0</v>
      </c>
      <c r="H526" s="80" t="b">
        <v>0</v>
      </c>
      <c r="I526" s="80" t="b">
        <v>0</v>
      </c>
      <c r="J526" s="80" t="b">
        <v>0</v>
      </c>
      <c r="K526" s="80" t="b">
        <v>0</v>
      </c>
      <c r="L526" s="80" t="b">
        <v>0</v>
      </c>
    </row>
    <row r="527" spans="1:12" ht="15">
      <c r="A527" s="81" t="s">
        <v>2593</v>
      </c>
      <c r="B527" s="80" t="s">
        <v>2788</v>
      </c>
      <c r="C527" s="80">
        <v>2</v>
      </c>
      <c r="D527" s="104">
        <v>0.00040173028372176515</v>
      </c>
      <c r="E527" s="104">
        <v>3.13956426617585</v>
      </c>
      <c r="F527" s="80" t="s">
        <v>3370</v>
      </c>
      <c r="G527" s="80" t="b">
        <v>0</v>
      </c>
      <c r="H527" s="80" t="b">
        <v>0</v>
      </c>
      <c r="I527" s="80" t="b">
        <v>0</v>
      </c>
      <c r="J527" s="80" t="b">
        <v>0</v>
      </c>
      <c r="K527" s="80" t="b">
        <v>0</v>
      </c>
      <c r="L527" s="80" t="b">
        <v>0</v>
      </c>
    </row>
    <row r="528" spans="1:12" ht="15">
      <c r="A528" s="81" t="s">
        <v>2451</v>
      </c>
      <c r="B528" s="80" t="s">
        <v>2829</v>
      </c>
      <c r="C528" s="80">
        <v>2</v>
      </c>
      <c r="D528" s="104">
        <v>0.00040173028372176515</v>
      </c>
      <c r="E528" s="104">
        <v>2.9634730071201685</v>
      </c>
      <c r="F528" s="80" t="s">
        <v>3370</v>
      </c>
      <c r="G528" s="80" t="b">
        <v>0</v>
      </c>
      <c r="H528" s="80" t="b">
        <v>0</v>
      </c>
      <c r="I528" s="80" t="b">
        <v>0</v>
      </c>
      <c r="J528" s="80" t="b">
        <v>0</v>
      </c>
      <c r="K528" s="80" t="b">
        <v>0</v>
      </c>
      <c r="L528" s="80" t="b">
        <v>0</v>
      </c>
    </row>
    <row r="529" spans="1:12" ht="15">
      <c r="A529" s="81" t="s">
        <v>3029</v>
      </c>
      <c r="B529" s="80" t="s">
        <v>2949</v>
      </c>
      <c r="C529" s="80">
        <v>2</v>
      </c>
      <c r="D529" s="104">
        <v>0.00040173028372176515</v>
      </c>
      <c r="E529" s="104">
        <v>3.616685520895512</v>
      </c>
      <c r="F529" s="80" t="s">
        <v>3370</v>
      </c>
      <c r="G529" s="80" t="b">
        <v>0</v>
      </c>
      <c r="H529" s="80" t="b">
        <v>0</v>
      </c>
      <c r="I529" s="80" t="b">
        <v>0</v>
      </c>
      <c r="J529" s="80" t="b">
        <v>0</v>
      </c>
      <c r="K529" s="80" t="b">
        <v>0</v>
      </c>
      <c r="L529" s="80" t="b">
        <v>0</v>
      </c>
    </row>
    <row r="530" spans="1:12" ht="15">
      <c r="A530" s="81" t="s">
        <v>3064</v>
      </c>
      <c r="B530" s="80" t="s">
        <v>2257</v>
      </c>
      <c r="C530" s="80">
        <v>2</v>
      </c>
      <c r="D530" s="104">
        <v>0.00040173028372176515</v>
      </c>
      <c r="E530" s="104">
        <v>2.595496221825574</v>
      </c>
      <c r="F530" s="80" t="s">
        <v>3370</v>
      </c>
      <c r="G530" s="80" t="b">
        <v>0</v>
      </c>
      <c r="H530" s="80" t="b">
        <v>0</v>
      </c>
      <c r="I530" s="80" t="b">
        <v>0</v>
      </c>
      <c r="J530" s="80" t="b">
        <v>0</v>
      </c>
      <c r="K530" s="80" t="b">
        <v>0</v>
      </c>
      <c r="L530" s="80" t="b">
        <v>0</v>
      </c>
    </row>
    <row r="531" spans="1:12" ht="15">
      <c r="A531" s="81" t="s">
        <v>2229</v>
      </c>
      <c r="B531" s="80" t="s">
        <v>2270</v>
      </c>
      <c r="C531" s="80">
        <v>2</v>
      </c>
      <c r="D531" s="104">
        <v>0.00040173028372176515</v>
      </c>
      <c r="E531" s="104">
        <v>1.3755127341254652</v>
      </c>
      <c r="F531" s="80" t="s">
        <v>3370</v>
      </c>
      <c r="G531" s="80" t="b">
        <v>0</v>
      </c>
      <c r="H531" s="80" t="b">
        <v>0</v>
      </c>
      <c r="I531" s="80" t="b">
        <v>0</v>
      </c>
      <c r="J531" s="80" t="b">
        <v>0</v>
      </c>
      <c r="K531" s="80" t="b">
        <v>0</v>
      </c>
      <c r="L531" s="80" t="b">
        <v>0</v>
      </c>
    </row>
    <row r="532" spans="1:12" ht="15">
      <c r="A532" s="81" t="s">
        <v>3227</v>
      </c>
      <c r="B532" s="80" t="s">
        <v>2220</v>
      </c>
      <c r="C532" s="80">
        <v>2</v>
      </c>
      <c r="D532" s="104">
        <v>0.00047366098758412623</v>
      </c>
      <c r="E532" s="104">
        <v>2.169527489553293</v>
      </c>
      <c r="F532" s="80" t="s">
        <v>3370</v>
      </c>
      <c r="G532" s="80" t="b">
        <v>0</v>
      </c>
      <c r="H532" s="80" t="b">
        <v>0</v>
      </c>
      <c r="I532" s="80" t="b">
        <v>0</v>
      </c>
      <c r="J532" s="80" t="b">
        <v>0</v>
      </c>
      <c r="K532" s="80" t="b">
        <v>0</v>
      </c>
      <c r="L532" s="80" t="b">
        <v>0</v>
      </c>
    </row>
    <row r="533" spans="1:12" ht="15">
      <c r="A533" s="81" t="s">
        <v>2418</v>
      </c>
      <c r="B533" s="80" t="s">
        <v>2262</v>
      </c>
      <c r="C533" s="80">
        <v>2</v>
      </c>
      <c r="D533" s="104">
        <v>0.00047366098758412623</v>
      </c>
      <c r="E533" s="104">
        <v>2.0948938712563887</v>
      </c>
      <c r="F533" s="80" t="s">
        <v>3370</v>
      </c>
      <c r="G533" s="80" t="b">
        <v>0</v>
      </c>
      <c r="H533" s="80" t="b">
        <v>0</v>
      </c>
      <c r="I533" s="80" t="b">
        <v>0</v>
      </c>
      <c r="J533" s="80" t="b">
        <v>0</v>
      </c>
      <c r="K533" s="80" t="b">
        <v>0</v>
      </c>
      <c r="L533" s="80" t="b">
        <v>0</v>
      </c>
    </row>
    <row r="534" spans="1:12" ht="15">
      <c r="A534" s="81" t="s">
        <v>2485</v>
      </c>
      <c r="B534" s="80" t="s">
        <v>2551</v>
      </c>
      <c r="C534" s="80">
        <v>2</v>
      </c>
      <c r="D534" s="104">
        <v>0.00040173028372176515</v>
      </c>
      <c r="E534" s="104">
        <v>2.7416242575038123</v>
      </c>
      <c r="F534" s="80" t="s">
        <v>3370</v>
      </c>
      <c r="G534" s="80" t="b">
        <v>0</v>
      </c>
      <c r="H534" s="80" t="b">
        <v>0</v>
      </c>
      <c r="I534" s="80" t="b">
        <v>0</v>
      </c>
      <c r="J534" s="80" t="b">
        <v>0</v>
      </c>
      <c r="K534" s="80" t="b">
        <v>0</v>
      </c>
      <c r="L534" s="80" t="b">
        <v>0</v>
      </c>
    </row>
    <row r="535" spans="1:12" ht="15">
      <c r="A535" s="81" t="s">
        <v>2932</v>
      </c>
      <c r="B535" s="80" t="s">
        <v>3186</v>
      </c>
      <c r="C535" s="80">
        <v>2</v>
      </c>
      <c r="D535" s="104">
        <v>0.00047366098758412623</v>
      </c>
      <c r="E535" s="104">
        <v>3.616685520895512</v>
      </c>
      <c r="F535" s="80" t="s">
        <v>3370</v>
      </c>
      <c r="G535" s="80" t="b">
        <v>0</v>
      </c>
      <c r="H535" s="80" t="b">
        <v>0</v>
      </c>
      <c r="I535" s="80" t="b">
        <v>0</v>
      </c>
      <c r="J535" s="80" t="b">
        <v>0</v>
      </c>
      <c r="K535" s="80" t="b">
        <v>0</v>
      </c>
      <c r="L535" s="80" t="b">
        <v>0</v>
      </c>
    </row>
    <row r="536" spans="1:12" ht="15">
      <c r="A536" s="81" t="s">
        <v>2519</v>
      </c>
      <c r="B536" s="80" t="s">
        <v>2348</v>
      </c>
      <c r="C536" s="80">
        <v>2</v>
      </c>
      <c r="D536" s="104">
        <v>0.00040173028372176515</v>
      </c>
      <c r="E536" s="104">
        <v>2.5197755078874557</v>
      </c>
      <c r="F536" s="80" t="s">
        <v>3370</v>
      </c>
      <c r="G536" s="80" t="b">
        <v>0</v>
      </c>
      <c r="H536" s="80" t="b">
        <v>0</v>
      </c>
      <c r="I536" s="80" t="b">
        <v>0</v>
      </c>
      <c r="J536" s="80" t="b">
        <v>0</v>
      </c>
      <c r="K536" s="80" t="b">
        <v>0</v>
      </c>
      <c r="L536" s="80" t="b">
        <v>0</v>
      </c>
    </row>
    <row r="537" spans="1:12" ht="15">
      <c r="A537" s="81" t="s">
        <v>3013</v>
      </c>
      <c r="B537" s="80" t="s">
        <v>2978</v>
      </c>
      <c r="C537" s="80">
        <v>2</v>
      </c>
      <c r="D537" s="104">
        <v>0.00040173028372176515</v>
      </c>
      <c r="E537" s="104">
        <v>3.616685520895512</v>
      </c>
      <c r="F537" s="80" t="s">
        <v>3370</v>
      </c>
      <c r="G537" s="80" t="b">
        <v>0</v>
      </c>
      <c r="H537" s="80" t="b">
        <v>0</v>
      </c>
      <c r="I537" s="80" t="b">
        <v>0</v>
      </c>
      <c r="J537" s="80" t="b">
        <v>0</v>
      </c>
      <c r="K537" s="80" t="b">
        <v>0</v>
      </c>
      <c r="L537" s="80" t="b">
        <v>0</v>
      </c>
    </row>
    <row r="538" spans="1:12" ht="15">
      <c r="A538" s="81" t="s">
        <v>2340</v>
      </c>
      <c r="B538" s="80" t="s">
        <v>2222</v>
      </c>
      <c r="C538" s="80">
        <v>2</v>
      </c>
      <c r="D538" s="104">
        <v>0.00040173028372176515</v>
      </c>
      <c r="E538" s="104">
        <v>1.5111753361255382</v>
      </c>
      <c r="F538" s="80" t="s">
        <v>3370</v>
      </c>
      <c r="G538" s="80" t="b">
        <v>0</v>
      </c>
      <c r="H538" s="80" t="b">
        <v>0</v>
      </c>
      <c r="I538" s="80" t="b">
        <v>0</v>
      </c>
      <c r="J538" s="80" t="b">
        <v>0</v>
      </c>
      <c r="K538" s="80" t="b">
        <v>0</v>
      </c>
      <c r="L538" s="80" t="b">
        <v>0</v>
      </c>
    </row>
    <row r="539" spans="1:12" ht="15">
      <c r="A539" s="81" t="s">
        <v>2290</v>
      </c>
      <c r="B539" s="80" t="s">
        <v>2382</v>
      </c>
      <c r="C539" s="80">
        <v>2</v>
      </c>
      <c r="D539" s="104">
        <v>0.00040173028372176515</v>
      </c>
      <c r="E539" s="104">
        <v>2.13956426617585</v>
      </c>
      <c r="F539" s="80" t="s">
        <v>3370</v>
      </c>
      <c r="G539" s="80" t="b">
        <v>0</v>
      </c>
      <c r="H539" s="80" t="b">
        <v>0</v>
      </c>
      <c r="I539" s="80" t="b">
        <v>0</v>
      </c>
      <c r="J539" s="80" t="b">
        <v>0</v>
      </c>
      <c r="K539" s="80" t="b">
        <v>0</v>
      </c>
      <c r="L539" s="80" t="b">
        <v>0</v>
      </c>
    </row>
    <row r="540" spans="1:12" ht="15">
      <c r="A540" s="81" t="s">
        <v>3042</v>
      </c>
      <c r="B540" s="80" t="s">
        <v>2958</v>
      </c>
      <c r="C540" s="80">
        <v>2</v>
      </c>
      <c r="D540" s="104">
        <v>0.00047366098758412623</v>
      </c>
      <c r="E540" s="104">
        <v>3.616685520895512</v>
      </c>
      <c r="F540" s="80" t="s">
        <v>3370</v>
      </c>
      <c r="G540" s="80" t="b">
        <v>0</v>
      </c>
      <c r="H540" s="80" t="b">
        <v>0</v>
      </c>
      <c r="I540" s="80" t="b">
        <v>0</v>
      </c>
      <c r="J540" s="80" t="b">
        <v>0</v>
      </c>
      <c r="K540" s="80" t="b">
        <v>0</v>
      </c>
      <c r="L540" s="80" t="b">
        <v>0</v>
      </c>
    </row>
    <row r="541" spans="1:12" ht="15">
      <c r="A541" s="81" t="s">
        <v>2717</v>
      </c>
      <c r="B541" s="80" t="s">
        <v>2216</v>
      </c>
      <c r="C541" s="80">
        <v>2</v>
      </c>
      <c r="D541" s="104">
        <v>0.00040173028372176515</v>
      </c>
      <c r="E541" s="104">
        <v>1.8278104051200954</v>
      </c>
      <c r="F541" s="80" t="s">
        <v>3370</v>
      </c>
      <c r="G541" s="80" t="b">
        <v>0</v>
      </c>
      <c r="H541" s="80" t="b">
        <v>0</v>
      </c>
      <c r="I541" s="80" t="b">
        <v>0</v>
      </c>
      <c r="J541" s="80" t="b">
        <v>0</v>
      </c>
      <c r="K541" s="80" t="b">
        <v>0</v>
      </c>
      <c r="L541" s="80" t="b">
        <v>0</v>
      </c>
    </row>
    <row r="542" spans="1:12" ht="15">
      <c r="A542" s="81" t="s">
        <v>2375</v>
      </c>
      <c r="B542" s="80" t="s">
        <v>2237</v>
      </c>
      <c r="C542" s="80">
        <v>2</v>
      </c>
      <c r="D542" s="104">
        <v>0.00047366098758412623</v>
      </c>
      <c r="E542" s="104">
        <v>1.8385342705118686</v>
      </c>
      <c r="F542" s="80" t="s">
        <v>3370</v>
      </c>
      <c r="G542" s="80" t="b">
        <v>0</v>
      </c>
      <c r="H542" s="80" t="b">
        <v>0</v>
      </c>
      <c r="I542" s="80" t="b">
        <v>0</v>
      </c>
      <c r="J542" s="80" t="b">
        <v>0</v>
      </c>
      <c r="K542" s="80" t="b">
        <v>0</v>
      </c>
      <c r="L542" s="80" t="b">
        <v>0</v>
      </c>
    </row>
    <row r="543" spans="1:12" ht="15">
      <c r="A543" s="81" t="s">
        <v>2547</v>
      </c>
      <c r="B543" s="80" t="s">
        <v>2276</v>
      </c>
      <c r="C543" s="80">
        <v>2</v>
      </c>
      <c r="D543" s="104">
        <v>0.00040173028372176515</v>
      </c>
      <c r="E543" s="104">
        <v>2.315655525231531</v>
      </c>
      <c r="F543" s="80" t="s">
        <v>3370</v>
      </c>
      <c r="G543" s="80" t="b">
        <v>0</v>
      </c>
      <c r="H543" s="80" t="b">
        <v>0</v>
      </c>
      <c r="I543" s="80" t="b">
        <v>0</v>
      </c>
      <c r="J543" s="80" t="b">
        <v>0</v>
      </c>
      <c r="K543" s="80" t="b">
        <v>0</v>
      </c>
      <c r="L543" s="80" t="b">
        <v>0</v>
      </c>
    </row>
    <row r="544" spans="1:12" ht="15">
      <c r="A544" s="81" t="s">
        <v>2676</v>
      </c>
      <c r="B544" s="80" t="s">
        <v>2841</v>
      </c>
      <c r="C544" s="80">
        <v>2</v>
      </c>
      <c r="D544" s="104">
        <v>0.00040173028372176515</v>
      </c>
      <c r="E544" s="104">
        <v>3.13956426617585</v>
      </c>
      <c r="F544" s="80" t="s">
        <v>3370</v>
      </c>
      <c r="G544" s="80" t="b">
        <v>0</v>
      </c>
      <c r="H544" s="80" t="b">
        <v>0</v>
      </c>
      <c r="I544" s="80" t="b">
        <v>0</v>
      </c>
      <c r="J544" s="80" t="b">
        <v>0</v>
      </c>
      <c r="K544" s="80" t="b">
        <v>0</v>
      </c>
      <c r="L544" s="80" t="b">
        <v>0</v>
      </c>
    </row>
    <row r="545" spans="1:12" ht="15">
      <c r="A545" s="81" t="s">
        <v>2949</v>
      </c>
      <c r="B545" s="80" t="s">
        <v>2990</v>
      </c>
      <c r="C545" s="80">
        <v>2</v>
      </c>
      <c r="D545" s="104">
        <v>0.00040173028372176515</v>
      </c>
      <c r="E545" s="104">
        <v>3.616685520895512</v>
      </c>
      <c r="F545" s="80" t="s">
        <v>3370</v>
      </c>
      <c r="G545" s="80" t="b">
        <v>0</v>
      </c>
      <c r="H545" s="80" t="b">
        <v>0</v>
      </c>
      <c r="I545" s="80" t="b">
        <v>0</v>
      </c>
      <c r="J545" s="80" t="b">
        <v>0</v>
      </c>
      <c r="K545" s="80" t="b">
        <v>0</v>
      </c>
      <c r="L545" s="80" t="b">
        <v>0</v>
      </c>
    </row>
    <row r="546" spans="1:12" ht="15">
      <c r="A546" s="81" t="s">
        <v>2352</v>
      </c>
      <c r="B546" s="80" t="s">
        <v>2481</v>
      </c>
      <c r="C546" s="80">
        <v>2</v>
      </c>
      <c r="D546" s="104">
        <v>0.00040173028372176515</v>
      </c>
      <c r="E546" s="104">
        <v>2.486351752400506</v>
      </c>
      <c r="F546" s="80" t="s">
        <v>3370</v>
      </c>
      <c r="G546" s="80" t="b">
        <v>0</v>
      </c>
      <c r="H546" s="80" t="b">
        <v>0</v>
      </c>
      <c r="I546" s="80" t="b">
        <v>0</v>
      </c>
      <c r="J546" s="80" t="b">
        <v>0</v>
      </c>
      <c r="K546" s="80" t="b">
        <v>0</v>
      </c>
      <c r="L546" s="80" t="b">
        <v>0</v>
      </c>
    </row>
    <row r="547" spans="1:12" ht="15">
      <c r="A547" s="81" t="s">
        <v>2239</v>
      </c>
      <c r="B547" s="80" t="s">
        <v>2263</v>
      </c>
      <c r="C547" s="80">
        <v>2</v>
      </c>
      <c r="D547" s="104">
        <v>0.00040173028372176515</v>
      </c>
      <c r="E547" s="104">
        <v>1.4775939133716895</v>
      </c>
      <c r="F547" s="80" t="s">
        <v>3370</v>
      </c>
      <c r="G547" s="80" t="b">
        <v>0</v>
      </c>
      <c r="H547" s="80" t="b">
        <v>0</v>
      </c>
      <c r="I547" s="80" t="b">
        <v>0</v>
      </c>
      <c r="J547" s="80" t="b">
        <v>0</v>
      </c>
      <c r="K547" s="80" t="b">
        <v>0</v>
      </c>
      <c r="L547" s="80" t="b">
        <v>0</v>
      </c>
    </row>
    <row r="548" spans="1:12" ht="15">
      <c r="A548" s="81" t="s">
        <v>2897</v>
      </c>
      <c r="B548" s="80" t="s">
        <v>2269</v>
      </c>
      <c r="C548" s="80">
        <v>2</v>
      </c>
      <c r="D548" s="104">
        <v>0.00040173028372176515</v>
      </c>
      <c r="E548" s="104">
        <v>2.6872665951812196</v>
      </c>
      <c r="F548" s="80" t="s">
        <v>3370</v>
      </c>
      <c r="G548" s="80" t="b">
        <v>0</v>
      </c>
      <c r="H548" s="80" t="b">
        <v>0</v>
      </c>
      <c r="I548" s="80" t="b">
        <v>0</v>
      </c>
      <c r="J548" s="80" t="b">
        <v>0</v>
      </c>
      <c r="K548" s="80" t="b">
        <v>0</v>
      </c>
      <c r="L548" s="80" t="b">
        <v>0</v>
      </c>
    </row>
    <row r="549" spans="1:12" ht="15">
      <c r="A549" s="81" t="s">
        <v>3209</v>
      </c>
      <c r="B549" s="80" t="s">
        <v>3148</v>
      </c>
      <c r="C549" s="80">
        <v>2</v>
      </c>
      <c r="D549" s="104">
        <v>0.00040173028372176515</v>
      </c>
      <c r="E549" s="104">
        <v>3.616685520895512</v>
      </c>
      <c r="F549" s="80" t="s">
        <v>3370</v>
      </c>
      <c r="G549" s="80" t="b">
        <v>0</v>
      </c>
      <c r="H549" s="80" t="b">
        <v>0</v>
      </c>
      <c r="I549" s="80" t="b">
        <v>0</v>
      </c>
      <c r="J549" s="80" t="b">
        <v>0</v>
      </c>
      <c r="K549" s="80" t="b">
        <v>0</v>
      </c>
      <c r="L549" s="80" t="b">
        <v>0</v>
      </c>
    </row>
    <row r="550" spans="1:12" ht="15">
      <c r="A550" s="81" t="s">
        <v>2237</v>
      </c>
      <c r="B550" s="80" t="s">
        <v>2218</v>
      </c>
      <c r="C550" s="80">
        <v>2</v>
      </c>
      <c r="D550" s="104">
        <v>0.00047366098758412623</v>
      </c>
      <c r="E550" s="104">
        <v>0.9144704617463464</v>
      </c>
      <c r="F550" s="80" t="s">
        <v>3370</v>
      </c>
      <c r="G550" s="80" t="b">
        <v>0</v>
      </c>
      <c r="H550" s="80" t="b">
        <v>0</v>
      </c>
      <c r="I550" s="80" t="b">
        <v>0</v>
      </c>
      <c r="J550" s="80" t="b">
        <v>0</v>
      </c>
      <c r="K550" s="80" t="b">
        <v>0</v>
      </c>
      <c r="L550" s="80" t="b">
        <v>0</v>
      </c>
    </row>
    <row r="551" spans="1:12" ht="15">
      <c r="A551" s="81" t="s">
        <v>2336</v>
      </c>
      <c r="B551" s="80" t="s">
        <v>2309</v>
      </c>
      <c r="C551" s="80">
        <v>2</v>
      </c>
      <c r="D551" s="104">
        <v>0.00047366098758412623</v>
      </c>
      <c r="E551" s="104">
        <v>2.0634094747584126</v>
      </c>
      <c r="F551" s="80" t="s">
        <v>3370</v>
      </c>
      <c r="G551" s="80" t="b">
        <v>1</v>
      </c>
      <c r="H551" s="80" t="b">
        <v>0</v>
      </c>
      <c r="I551" s="80" t="b">
        <v>0</v>
      </c>
      <c r="J551" s="80" t="b">
        <v>0</v>
      </c>
      <c r="K551" s="80" t="b">
        <v>0</v>
      </c>
      <c r="L551" s="80" t="b">
        <v>0</v>
      </c>
    </row>
    <row r="552" spans="1:12" ht="15">
      <c r="A552" s="81" t="s">
        <v>2394</v>
      </c>
      <c r="B552" s="80" t="s">
        <v>2213</v>
      </c>
      <c r="C552" s="80">
        <v>2</v>
      </c>
      <c r="D552" s="104">
        <v>0.00040173028372176515</v>
      </c>
      <c r="E552" s="104">
        <v>1.3167426208727453</v>
      </c>
      <c r="F552" s="80" t="s">
        <v>3370</v>
      </c>
      <c r="G552" s="80" t="b">
        <v>0</v>
      </c>
      <c r="H552" s="80" t="b">
        <v>0</v>
      </c>
      <c r="I552" s="80" t="b">
        <v>0</v>
      </c>
      <c r="J552" s="80" t="b">
        <v>0</v>
      </c>
      <c r="K552" s="80" t="b">
        <v>0</v>
      </c>
      <c r="L552" s="80" t="b">
        <v>0</v>
      </c>
    </row>
    <row r="553" spans="1:12" ht="15">
      <c r="A553" s="81" t="s">
        <v>2975</v>
      </c>
      <c r="B553" s="80" t="s">
        <v>2320</v>
      </c>
      <c r="C553" s="80">
        <v>2</v>
      </c>
      <c r="D553" s="104">
        <v>0.00040173028372176515</v>
      </c>
      <c r="E553" s="104">
        <v>2.8037721642526567</v>
      </c>
      <c r="F553" s="80" t="s">
        <v>3370</v>
      </c>
      <c r="G553" s="80" t="b">
        <v>0</v>
      </c>
      <c r="H553" s="80" t="b">
        <v>0</v>
      </c>
      <c r="I553" s="80" t="b">
        <v>0</v>
      </c>
      <c r="J553" s="80" t="b">
        <v>0</v>
      </c>
      <c r="K553" s="80" t="b">
        <v>0</v>
      </c>
      <c r="L553" s="80" t="b">
        <v>0</v>
      </c>
    </row>
    <row r="554" spans="1:12" ht="15">
      <c r="A554" s="81" t="s">
        <v>2787</v>
      </c>
      <c r="B554" s="80" t="s">
        <v>3219</v>
      </c>
      <c r="C554" s="80">
        <v>2</v>
      </c>
      <c r="D554" s="104">
        <v>0.00040173028372176515</v>
      </c>
      <c r="E554" s="104">
        <v>3.440594261839831</v>
      </c>
      <c r="F554" s="80" t="s">
        <v>3370</v>
      </c>
      <c r="G554" s="80" t="b">
        <v>0</v>
      </c>
      <c r="H554" s="80" t="b">
        <v>0</v>
      </c>
      <c r="I554" s="80" t="b">
        <v>0</v>
      </c>
      <c r="J554" s="80" t="b">
        <v>0</v>
      </c>
      <c r="K554" s="80" t="b">
        <v>0</v>
      </c>
      <c r="L554" s="80" t="b">
        <v>0</v>
      </c>
    </row>
    <row r="555" spans="1:12" ht="15">
      <c r="A555" s="81" t="s">
        <v>2275</v>
      </c>
      <c r="B555" s="80" t="s">
        <v>2229</v>
      </c>
      <c r="C555" s="80">
        <v>2</v>
      </c>
      <c r="D555" s="104">
        <v>0.00040173028372176515</v>
      </c>
      <c r="E555" s="104">
        <v>1.4018416728478145</v>
      </c>
      <c r="F555" s="80" t="s">
        <v>3370</v>
      </c>
      <c r="G555" s="80" t="b">
        <v>0</v>
      </c>
      <c r="H555" s="80" t="b">
        <v>0</v>
      </c>
      <c r="I555" s="80" t="b">
        <v>0</v>
      </c>
      <c r="J555" s="80" t="b">
        <v>0</v>
      </c>
      <c r="K555" s="80" t="b">
        <v>0</v>
      </c>
      <c r="L555" s="80" t="b">
        <v>0</v>
      </c>
    </row>
    <row r="556" spans="1:12" ht="15">
      <c r="A556" s="81" t="s">
        <v>2356</v>
      </c>
      <c r="B556" s="80" t="s">
        <v>2620</v>
      </c>
      <c r="C556" s="80">
        <v>2</v>
      </c>
      <c r="D556" s="104">
        <v>0.00040173028372176515</v>
      </c>
      <c r="E556" s="104">
        <v>2.6624430114561872</v>
      </c>
      <c r="F556" s="80" t="s">
        <v>3370</v>
      </c>
      <c r="G556" s="80" t="b">
        <v>0</v>
      </c>
      <c r="H556" s="80" t="b">
        <v>0</v>
      </c>
      <c r="I556" s="80" t="b">
        <v>0</v>
      </c>
      <c r="J556" s="80" t="b">
        <v>0</v>
      </c>
      <c r="K556" s="80" t="b">
        <v>0</v>
      </c>
      <c r="L556" s="80" t="b">
        <v>0</v>
      </c>
    </row>
    <row r="557" spans="1:12" ht="15">
      <c r="A557" s="81" t="s">
        <v>2503</v>
      </c>
      <c r="B557" s="80" t="s">
        <v>2319</v>
      </c>
      <c r="C557" s="80">
        <v>2</v>
      </c>
      <c r="D557" s="104">
        <v>0.00047366098758412623</v>
      </c>
      <c r="E557" s="104">
        <v>2.4058321555806192</v>
      </c>
      <c r="F557" s="80" t="s">
        <v>3370</v>
      </c>
      <c r="G557" s="80" t="b">
        <v>0</v>
      </c>
      <c r="H557" s="80" t="b">
        <v>0</v>
      </c>
      <c r="I557" s="80" t="b">
        <v>0</v>
      </c>
      <c r="J557" s="80" t="b">
        <v>0</v>
      </c>
      <c r="K557" s="80" t="b">
        <v>0</v>
      </c>
      <c r="L557" s="80" t="b">
        <v>0</v>
      </c>
    </row>
    <row r="558" spans="1:12" ht="15">
      <c r="A558" s="81" t="s">
        <v>2816</v>
      </c>
      <c r="B558" s="80" t="s">
        <v>2358</v>
      </c>
      <c r="C558" s="80">
        <v>2</v>
      </c>
      <c r="D558" s="104">
        <v>0.00047366098758412623</v>
      </c>
      <c r="E558" s="104">
        <v>2.787381748064487</v>
      </c>
      <c r="F558" s="80" t="s">
        <v>3370</v>
      </c>
      <c r="G558" s="80" t="b">
        <v>0</v>
      </c>
      <c r="H558" s="80" t="b">
        <v>0</v>
      </c>
      <c r="I558" s="80" t="b">
        <v>0</v>
      </c>
      <c r="J558" s="80" t="b">
        <v>0</v>
      </c>
      <c r="K558" s="80" t="b">
        <v>0</v>
      </c>
      <c r="L558" s="80" t="b">
        <v>0</v>
      </c>
    </row>
    <row r="559" spans="1:12" ht="15">
      <c r="A559" s="81" t="s">
        <v>2800</v>
      </c>
      <c r="B559" s="80" t="s">
        <v>2986</v>
      </c>
      <c r="C559" s="80">
        <v>2</v>
      </c>
      <c r="D559" s="104">
        <v>0.00047366098758412623</v>
      </c>
      <c r="E559" s="104">
        <v>3.440594261839831</v>
      </c>
      <c r="F559" s="80" t="s">
        <v>3370</v>
      </c>
      <c r="G559" s="80" t="b">
        <v>0</v>
      </c>
      <c r="H559" s="80" t="b">
        <v>0</v>
      </c>
      <c r="I559" s="80" t="b">
        <v>0</v>
      </c>
      <c r="J559" s="80" t="b">
        <v>0</v>
      </c>
      <c r="K559" s="80" t="b">
        <v>0</v>
      </c>
      <c r="L559" s="80" t="b">
        <v>0</v>
      </c>
    </row>
    <row r="560" spans="1:12" ht="15">
      <c r="A560" s="81" t="s">
        <v>2253</v>
      </c>
      <c r="B560" s="80" t="s">
        <v>2473</v>
      </c>
      <c r="C560" s="80">
        <v>2</v>
      </c>
      <c r="D560" s="104">
        <v>0.00040173028372176515</v>
      </c>
      <c r="E560" s="104">
        <v>2.098171581017625</v>
      </c>
      <c r="F560" s="80" t="s">
        <v>3370</v>
      </c>
      <c r="G560" s="80" t="b">
        <v>0</v>
      </c>
      <c r="H560" s="80" t="b">
        <v>0</v>
      </c>
      <c r="I560" s="80" t="b">
        <v>0</v>
      </c>
      <c r="J560" s="80" t="b">
        <v>0</v>
      </c>
      <c r="K560" s="80" t="b">
        <v>0</v>
      </c>
      <c r="L560" s="80" t="b">
        <v>0</v>
      </c>
    </row>
    <row r="561" spans="1:12" ht="15">
      <c r="A561" s="81" t="s">
        <v>2426</v>
      </c>
      <c r="B561" s="80" t="s">
        <v>2251</v>
      </c>
      <c r="C561" s="80">
        <v>2</v>
      </c>
      <c r="D561" s="104">
        <v>0.00047366098758412623</v>
      </c>
      <c r="E561" s="104">
        <v>2.098171581017625</v>
      </c>
      <c r="F561" s="80" t="s">
        <v>3370</v>
      </c>
      <c r="G561" s="80" t="b">
        <v>0</v>
      </c>
      <c r="H561" s="80" t="b">
        <v>0</v>
      </c>
      <c r="I561" s="80" t="b">
        <v>0</v>
      </c>
      <c r="J561" s="80" t="b">
        <v>0</v>
      </c>
      <c r="K561" s="80" t="b">
        <v>0</v>
      </c>
      <c r="L561" s="80" t="b">
        <v>0</v>
      </c>
    </row>
    <row r="562" spans="1:12" ht="15">
      <c r="A562" s="81" t="s">
        <v>2346</v>
      </c>
      <c r="B562" s="80" t="s">
        <v>2975</v>
      </c>
      <c r="C562" s="80">
        <v>2</v>
      </c>
      <c r="D562" s="104">
        <v>0.00040173028372176515</v>
      </c>
      <c r="E562" s="104">
        <v>2.9177155165594932</v>
      </c>
      <c r="F562" s="80" t="s">
        <v>3370</v>
      </c>
      <c r="G562" s="80" t="b">
        <v>0</v>
      </c>
      <c r="H562" s="80" t="b">
        <v>0</v>
      </c>
      <c r="I562" s="80" t="b">
        <v>0</v>
      </c>
      <c r="J562" s="80" t="b">
        <v>0</v>
      </c>
      <c r="K562" s="80" t="b">
        <v>0</v>
      </c>
      <c r="L562" s="80" t="b">
        <v>0</v>
      </c>
    </row>
    <row r="563" spans="1:12" ht="15">
      <c r="A563" s="81" t="s">
        <v>2584</v>
      </c>
      <c r="B563" s="80" t="s">
        <v>3032</v>
      </c>
      <c r="C563" s="80">
        <v>2</v>
      </c>
      <c r="D563" s="104">
        <v>0.00040173028372176515</v>
      </c>
      <c r="E563" s="104">
        <v>3.315655525231531</v>
      </c>
      <c r="F563" s="80" t="s">
        <v>3370</v>
      </c>
      <c r="G563" s="80" t="b">
        <v>0</v>
      </c>
      <c r="H563" s="80" t="b">
        <v>0</v>
      </c>
      <c r="I563" s="80" t="b">
        <v>0</v>
      </c>
      <c r="J563" s="80" t="b">
        <v>0</v>
      </c>
      <c r="K563" s="80" t="b">
        <v>0</v>
      </c>
      <c r="L563" s="80" t="b">
        <v>0</v>
      </c>
    </row>
    <row r="564" spans="1:12" ht="15">
      <c r="A564" s="81" t="s">
        <v>2220</v>
      </c>
      <c r="B564" s="80" t="s">
        <v>3072</v>
      </c>
      <c r="C564" s="80">
        <v>2</v>
      </c>
      <c r="D564" s="104">
        <v>0.00047366098758412623</v>
      </c>
      <c r="E564" s="104">
        <v>2.1542875229965563</v>
      </c>
      <c r="F564" s="80" t="s">
        <v>3370</v>
      </c>
      <c r="G564" s="80" t="b">
        <v>0</v>
      </c>
      <c r="H564" s="80" t="b">
        <v>0</v>
      </c>
      <c r="I564" s="80" t="b">
        <v>0</v>
      </c>
      <c r="J564" s="80" t="b">
        <v>0</v>
      </c>
      <c r="K564" s="80" t="b">
        <v>0</v>
      </c>
      <c r="L564" s="80" t="b">
        <v>0</v>
      </c>
    </row>
    <row r="565" spans="1:12" ht="15">
      <c r="A565" s="81" t="s">
        <v>3089</v>
      </c>
      <c r="B565" s="80" t="s">
        <v>2915</v>
      </c>
      <c r="C565" s="80">
        <v>2</v>
      </c>
      <c r="D565" s="104">
        <v>0.00040173028372176515</v>
      </c>
      <c r="E565" s="104">
        <v>3.616685520895512</v>
      </c>
      <c r="F565" s="80" t="s">
        <v>3370</v>
      </c>
      <c r="G565" s="80" t="b">
        <v>0</v>
      </c>
      <c r="H565" s="80" t="b">
        <v>0</v>
      </c>
      <c r="I565" s="80" t="b">
        <v>0</v>
      </c>
      <c r="J565" s="80" t="b">
        <v>0</v>
      </c>
      <c r="K565" s="80" t="b">
        <v>0</v>
      </c>
      <c r="L565" s="80" t="b">
        <v>0</v>
      </c>
    </row>
    <row r="566" spans="1:12" ht="15">
      <c r="A566" s="81" t="s">
        <v>2675</v>
      </c>
      <c r="B566" s="80" t="s">
        <v>2903</v>
      </c>
      <c r="C566" s="80">
        <v>2</v>
      </c>
      <c r="D566" s="104">
        <v>0.00047366098758412623</v>
      </c>
      <c r="E566" s="104">
        <v>3.315655525231531</v>
      </c>
      <c r="F566" s="80" t="s">
        <v>3370</v>
      </c>
      <c r="G566" s="80" t="b">
        <v>0</v>
      </c>
      <c r="H566" s="80" t="b">
        <v>0</v>
      </c>
      <c r="I566" s="80" t="b">
        <v>0</v>
      </c>
      <c r="J566" s="80" t="b">
        <v>0</v>
      </c>
      <c r="K566" s="80" t="b">
        <v>0</v>
      </c>
      <c r="L566" s="80" t="b">
        <v>0</v>
      </c>
    </row>
    <row r="567" spans="1:12" ht="15">
      <c r="A567" s="81" t="s">
        <v>2218</v>
      </c>
      <c r="B567" s="80" t="s">
        <v>3338</v>
      </c>
      <c r="C567" s="80">
        <v>2</v>
      </c>
      <c r="D567" s="104">
        <v>0.00040173028372176515</v>
      </c>
      <c r="E567" s="104">
        <v>2.104802159916638</v>
      </c>
      <c r="F567" s="80" t="s">
        <v>3370</v>
      </c>
      <c r="G567" s="80" t="b">
        <v>0</v>
      </c>
      <c r="H567" s="80" t="b">
        <v>0</v>
      </c>
      <c r="I567" s="80" t="b">
        <v>0</v>
      </c>
      <c r="J567" s="80" t="b">
        <v>0</v>
      </c>
      <c r="K567" s="80" t="b">
        <v>0</v>
      </c>
      <c r="L567" s="80" t="b">
        <v>0</v>
      </c>
    </row>
    <row r="568" spans="1:12" ht="15">
      <c r="A568" s="81" t="s">
        <v>2413</v>
      </c>
      <c r="B568" s="80" t="s">
        <v>2426</v>
      </c>
      <c r="C568" s="80">
        <v>2</v>
      </c>
      <c r="D568" s="104">
        <v>0.00047366098758412623</v>
      </c>
      <c r="E568" s="104">
        <v>2.595496221825574</v>
      </c>
      <c r="F568" s="80" t="s">
        <v>3370</v>
      </c>
      <c r="G568" s="80" t="b">
        <v>0</v>
      </c>
      <c r="H568" s="80" t="b">
        <v>0</v>
      </c>
      <c r="I568" s="80" t="b">
        <v>0</v>
      </c>
      <c r="J568" s="80" t="b">
        <v>0</v>
      </c>
      <c r="K568" s="80" t="b">
        <v>0</v>
      </c>
      <c r="L568" s="80" t="b">
        <v>0</v>
      </c>
    </row>
    <row r="569" spans="1:12" ht="15">
      <c r="A569" s="81" t="s">
        <v>2218</v>
      </c>
      <c r="B569" s="80" t="s">
        <v>2566</v>
      </c>
      <c r="C569" s="80">
        <v>2</v>
      </c>
      <c r="D569" s="104">
        <v>0.00040173028372176515</v>
      </c>
      <c r="E569" s="104">
        <v>1.7068621512446003</v>
      </c>
      <c r="F569" s="80" t="s">
        <v>3370</v>
      </c>
      <c r="G569" s="80" t="b">
        <v>0</v>
      </c>
      <c r="H569" s="80" t="b">
        <v>0</v>
      </c>
      <c r="I569" s="80" t="b">
        <v>0</v>
      </c>
      <c r="J569" s="80" t="b">
        <v>0</v>
      </c>
      <c r="K569" s="80" t="b">
        <v>0</v>
      </c>
      <c r="L569" s="80" t="b">
        <v>0</v>
      </c>
    </row>
    <row r="570" spans="1:12" ht="15">
      <c r="A570" s="81" t="s">
        <v>3026</v>
      </c>
      <c r="B570" s="80" t="s">
        <v>3159</v>
      </c>
      <c r="C570" s="80">
        <v>2</v>
      </c>
      <c r="D570" s="104">
        <v>0.00047366098758412623</v>
      </c>
      <c r="E570" s="104">
        <v>3.616685520895512</v>
      </c>
      <c r="F570" s="80" t="s">
        <v>3370</v>
      </c>
      <c r="G570" s="80" t="b">
        <v>0</v>
      </c>
      <c r="H570" s="80" t="b">
        <v>0</v>
      </c>
      <c r="I570" s="80" t="b">
        <v>0</v>
      </c>
      <c r="J570" s="80" t="b">
        <v>0</v>
      </c>
      <c r="K570" s="80" t="b">
        <v>0</v>
      </c>
      <c r="L570" s="80" t="b">
        <v>0</v>
      </c>
    </row>
    <row r="571" spans="1:12" ht="15">
      <c r="A571" s="81" t="s">
        <v>2261</v>
      </c>
      <c r="B571" s="80" t="s">
        <v>2359</v>
      </c>
      <c r="C571" s="80">
        <v>2</v>
      </c>
      <c r="D571" s="104">
        <v>0.00040173028372176515</v>
      </c>
      <c r="E571" s="104">
        <v>1.9857494018313209</v>
      </c>
      <c r="F571" s="80" t="s">
        <v>3370</v>
      </c>
      <c r="G571" s="80" t="b">
        <v>1</v>
      </c>
      <c r="H571" s="80" t="b">
        <v>0</v>
      </c>
      <c r="I571" s="80" t="b">
        <v>0</v>
      </c>
      <c r="J571" s="80" t="b">
        <v>0</v>
      </c>
      <c r="K571" s="80" t="b">
        <v>0</v>
      </c>
      <c r="L571" s="80" t="b">
        <v>0</v>
      </c>
    </row>
    <row r="572" spans="1:12" ht="15">
      <c r="A572" s="81" t="s">
        <v>2551</v>
      </c>
      <c r="B572" s="80" t="s">
        <v>3126</v>
      </c>
      <c r="C572" s="80">
        <v>2</v>
      </c>
      <c r="D572" s="104">
        <v>0.00040173028372176515</v>
      </c>
      <c r="E572" s="104">
        <v>3.2187455122234745</v>
      </c>
      <c r="F572" s="80" t="s">
        <v>3370</v>
      </c>
      <c r="G572" s="80" t="b">
        <v>0</v>
      </c>
      <c r="H572" s="80" t="b">
        <v>0</v>
      </c>
      <c r="I572" s="80" t="b">
        <v>0</v>
      </c>
      <c r="J572" s="80" t="b">
        <v>0</v>
      </c>
      <c r="K572" s="80" t="b">
        <v>0</v>
      </c>
      <c r="L572" s="80" t="b">
        <v>0</v>
      </c>
    </row>
    <row r="573" spans="1:12" ht="15">
      <c r="A573" s="81" t="s">
        <v>2809</v>
      </c>
      <c r="B573" s="80" t="s">
        <v>2936</v>
      </c>
      <c r="C573" s="80">
        <v>2</v>
      </c>
      <c r="D573" s="104">
        <v>0.00040173028372176515</v>
      </c>
      <c r="E573" s="104">
        <v>3.440594261839831</v>
      </c>
      <c r="F573" s="80" t="s">
        <v>3370</v>
      </c>
      <c r="G573" s="80" t="b">
        <v>0</v>
      </c>
      <c r="H573" s="80" t="b">
        <v>0</v>
      </c>
      <c r="I573" s="80" t="b">
        <v>0</v>
      </c>
      <c r="J573" s="80" t="b">
        <v>0</v>
      </c>
      <c r="K573" s="80" t="b">
        <v>0</v>
      </c>
      <c r="L573" s="80" t="b">
        <v>0</v>
      </c>
    </row>
    <row r="574" spans="1:12" ht="15">
      <c r="A574" s="81" t="s">
        <v>3071</v>
      </c>
      <c r="B574" s="80" t="s">
        <v>2547</v>
      </c>
      <c r="C574" s="80">
        <v>2</v>
      </c>
      <c r="D574" s="104">
        <v>0.00040173028372176515</v>
      </c>
      <c r="E574" s="104">
        <v>3.2187455122234745</v>
      </c>
      <c r="F574" s="80" t="s">
        <v>3370</v>
      </c>
      <c r="G574" s="80" t="b">
        <v>0</v>
      </c>
      <c r="H574" s="80" t="b">
        <v>0</v>
      </c>
      <c r="I574" s="80" t="b">
        <v>0</v>
      </c>
      <c r="J574" s="80" t="b">
        <v>0</v>
      </c>
      <c r="K574" s="80" t="b">
        <v>0</v>
      </c>
      <c r="L574" s="80" t="b">
        <v>0</v>
      </c>
    </row>
    <row r="575" spans="1:12" ht="15">
      <c r="A575" s="81" t="s">
        <v>2326</v>
      </c>
      <c r="B575" s="80" t="s">
        <v>3258</v>
      </c>
      <c r="C575" s="80">
        <v>2</v>
      </c>
      <c r="D575" s="104">
        <v>0.00040173028372176515</v>
      </c>
      <c r="E575" s="104">
        <v>2.8385342705118686</v>
      </c>
      <c r="F575" s="80" t="s">
        <v>3370</v>
      </c>
      <c r="G575" s="80" t="b">
        <v>0</v>
      </c>
      <c r="H575" s="80" t="b">
        <v>0</v>
      </c>
      <c r="I575" s="80" t="b">
        <v>0</v>
      </c>
      <c r="J575" s="80" t="b">
        <v>0</v>
      </c>
      <c r="K575" s="80" t="b">
        <v>0</v>
      </c>
      <c r="L575" s="80" t="b">
        <v>0</v>
      </c>
    </row>
    <row r="576" spans="1:12" ht="15">
      <c r="A576" s="81" t="s">
        <v>2406</v>
      </c>
      <c r="B576" s="80" t="s">
        <v>2511</v>
      </c>
      <c r="C576" s="80">
        <v>2</v>
      </c>
      <c r="D576" s="104">
        <v>0.00040173028372176515</v>
      </c>
      <c r="E576" s="104">
        <v>2.674677467873199</v>
      </c>
      <c r="F576" s="80" t="s">
        <v>3370</v>
      </c>
      <c r="G576" s="80" t="b">
        <v>0</v>
      </c>
      <c r="H576" s="80" t="b">
        <v>0</v>
      </c>
      <c r="I576" s="80" t="b">
        <v>0</v>
      </c>
      <c r="J576" s="80" t="b">
        <v>0</v>
      </c>
      <c r="K576" s="80" t="b">
        <v>0</v>
      </c>
      <c r="L576" s="80" t="b">
        <v>0</v>
      </c>
    </row>
    <row r="577" spans="1:12" ht="15">
      <c r="A577" s="81" t="s">
        <v>2219</v>
      </c>
      <c r="B577" s="80" t="s">
        <v>2475</v>
      </c>
      <c r="C577" s="80">
        <v>2</v>
      </c>
      <c r="D577" s="104">
        <v>0.00040173028372176515</v>
      </c>
      <c r="E577" s="104">
        <v>1.6697422501976869</v>
      </c>
      <c r="F577" s="80" t="s">
        <v>3370</v>
      </c>
      <c r="G577" s="80" t="b">
        <v>0</v>
      </c>
      <c r="H577" s="80" t="b">
        <v>0</v>
      </c>
      <c r="I577" s="80" t="b">
        <v>0</v>
      </c>
      <c r="J577" s="80" t="b">
        <v>0</v>
      </c>
      <c r="K577" s="80" t="b">
        <v>0</v>
      </c>
      <c r="L577" s="80" t="b">
        <v>0</v>
      </c>
    </row>
    <row r="578" spans="1:12" ht="15">
      <c r="A578" s="81" t="s">
        <v>2216</v>
      </c>
      <c r="B578" s="80" t="s">
        <v>2882</v>
      </c>
      <c r="C578" s="80">
        <v>2</v>
      </c>
      <c r="D578" s="104">
        <v>0.00040173028372176515</v>
      </c>
      <c r="E578" s="104">
        <v>2.003901664175777</v>
      </c>
      <c r="F578" s="80" t="s">
        <v>3370</v>
      </c>
      <c r="G578" s="80" t="b">
        <v>0</v>
      </c>
      <c r="H578" s="80" t="b">
        <v>0</v>
      </c>
      <c r="I578" s="80" t="b">
        <v>0</v>
      </c>
      <c r="J578" s="80" t="b">
        <v>0</v>
      </c>
      <c r="K578" s="80" t="b">
        <v>0</v>
      </c>
      <c r="L578" s="80" t="b">
        <v>0</v>
      </c>
    </row>
    <row r="579" spans="1:12" ht="15">
      <c r="A579" s="81" t="s">
        <v>2630</v>
      </c>
      <c r="B579" s="80" t="s">
        <v>2281</v>
      </c>
      <c r="C579" s="80">
        <v>2</v>
      </c>
      <c r="D579" s="104">
        <v>0.00040173028372176515</v>
      </c>
      <c r="E579" s="104">
        <v>2.440594261839831</v>
      </c>
      <c r="F579" s="80" t="s">
        <v>3370</v>
      </c>
      <c r="G579" s="80" t="b">
        <v>0</v>
      </c>
      <c r="H579" s="80" t="b">
        <v>0</v>
      </c>
      <c r="I579" s="80" t="b">
        <v>0</v>
      </c>
      <c r="J579" s="80" t="b">
        <v>0</v>
      </c>
      <c r="K579" s="80" t="b">
        <v>0</v>
      </c>
      <c r="L579" s="80" t="b">
        <v>0</v>
      </c>
    </row>
    <row r="580" spans="1:12" ht="15">
      <c r="A580" s="81" t="s">
        <v>2321</v>
      </c>
      <c r="B580" s="80" t="s">
        <v>3099</v>
      </c>
      <c r="C580" s="80">
        <v>2</v>
      </c>
      <c r="D580" s="104">
        <v>0.00040173028372176515</v>
      </c>
      <c r="E580" s="104">
        <v>2.8385342705118686</v>
      </c>
      <c r="F580" s="80" t="s">
        <v>3370</v>
      </c>
      <c r="G580" s="80" t="b">
        <v>0</v>
      </c>
      <c r="H580" s="80" t="b">
        <v>0</v>
      </c>
      <c r="I580" s="80" t="b">
        <v>0</v>
      </c>
      <c r="J580" s="80" t="b">
        <v>0</v>
      </c>
      <c r="K580" s="80" t="b">
        <v>0</v>
      </c>
      <c r="L580" s="80" t="b">
        <v>0</v>
      </c>
    </row>
    <row r="581" spans="1:12" ht="15">
      <c r="A581" s="81" t="s">
        <v>3019</v>
      </c>
      <c r="B581" s="80" t="s">
        <v>2647</v>
      </c>
      <c r="C581" s="80">
        <v>2</v>
      </c>
      <c r="D581" s="104">
        <v>0.00040173028372176515</v>
      </c>
      <c r="E581" s="104">
        <v>3.315655525231531</v>
      </c>
      <c r="F581" s="80" t="s">
        <v>3370</v>
      </c>
      <c r="G581" s="80" t="b">
        <v>0</v>
      </c>
      <c r="H581" s="80" t="b">
        <v>0</v>
      </c>
      <c r="I581" s="80" t="b">
        <v>0</v>
      </c>
      <c r="J581" s="80" t="b">
        <v>0</v>
      </c>
      <c r="K581" s="80" t="b">
        <v>0</v>
      </c>
      <c r="L581" s="80" t="b">
        <v>0</v>
      </c>
    </row>
    <row r="582" spans="1:12" ht="15">
      <c r="A582" s="81" t="s">
        <v>3123</v>
      </c>
      <c r="B582" s="80" t="s">
        <v>2833</v>
      </c>
      <c r="C582" s="80">
        <v>2</v>
      </c>
      <c r="D582" s="104">
        <v>0.00040173028372176515</v>
      </c>
      <c r="E582" s="104">
        <v>3.440594261839831</v>
      </c>
      <c r="F582" s="80" t="s">
        <v>3370</v>
      </c>
      <c r="G582" s="80" t="b">
        <v>0</v>
      </c>
      <c r="H582" s="80" t="b">
        <v>0</v>
      </c>
      <c r="I582" s="80" t="b">
        <v>0</v>
      </c>
      <c r="J582" s="80" t="b">
        <v>0</v>
      </c>
      <c r="K582" s="80" t="b">
        <v>0</v>
      </c>
      <c r="L582" s="80" t="b">
        <v>0</v>
      </c>
    </row>
    <row r="583" spans="1:12" ht="15">
      <c r="A583" s="81" t="s">
        <v>2279</v>
      </c>
      <c r="B583" s="80" t="s">
        <v>2214</v>
      </c>
      <c r="C583" s="80">
        <v>2</v>
      </c>
      <c r="D583" s="104">
        <v>0.00047366098758412623</v>
      </c>
      <c r="E583" s="104">
        <v>0.9577206782310772</v>
      </c>
      <c r="F583" s="80" t="s">
        <v>3370</v>
      </c>
      <c r="G583" s="80" t="b">
        <v>0</v>
      </c>
      <c r="H583" s="80" t="b">
        <v>0</v>
      </c>
      <c r="I583" s="80" t="b">
        <v>0</v>
      </c>
      <c r="J583" s="80" t="b">
        <v>0</v>
      </c>
      <c r="K583" s="80" t="b">
        <v>0</v>
      </c>
      <c r="L583" s="80" t="b">
        <v>0</v>
      </c>
    </row>
    <row r="584" spans="1:12" ht="15">
      <c r="A584" s="81" t="s">
        <v>2214</v>
      </c>
      <c r="B584" s="80" t="s">
        <v>2486</v>
      </c>
      <c r="C584" s="80">
        <v>2</v>
      </c>
      <c r="D584" s="104">
        <v>0.00040173028372176515</v>
      </c>
      <c r="E584" s="104">
        <v>1.3836894105033584</v>
      </c>
      <c r="F584" s="80" t="s">
        <v>3370</v>
      </c>
      <c r="G584" s="80" t="b">
        <v>0</v>
      </c>
      <c r="H584" s="80" t="b">
        <v>0</v>
      </c>
      <c r="I584" s="80" t="b">
        <v>0</v>
      </c>
      <c r="J584" s="80" t="b">
        <v>0</v>
      </c>
      <c r="K584" s="80" t="b">
        <v>0</v>
      </c>
      <c r="L584" s="80" t="b">
        <v>0</v>
      </c>
    </row>
    <row r="585" spans="1:12" ht="15">
      <c r="A585" s="81" t="s">
        <v>2248</v>
      </c>
      <c r="B585" s="80" t="s">
        <v>2223</v>
      </c>
      <c r="C585" s="80">
        <v>2</v>
      </c>
      <c r="D585" s="104">
        <v>0.00047366098758412623</v>
      </c>
      <c r="E585" s="104">
        <v>1.1309640944139323</v>
      </c>
      <c r="F585" s="80" t="s">
        <v>3370</v>
      </c>
      <c r="G585" s="80" t="b">
        <v>0</v>
      </c>
      <c r="H585" s="80" t="b">
        <v>0</v>
      </c>
      <c r="I585" s="80" t="b">
        <v>0</v>
      </c>
      <c r="J585" s="80" t="b">
        <v>0</v>
      </c>
      <c r="K585" s="80" t="b">
        <v>0</v>
      </c>
      <c r="L585" s="80" t="b">
        <v>0</v>
      </c>
    </row>
    <row r="586" spans="1:12" ht="15">
      <c r="A586" s="81" t="s">
        <v>2950</v>
      </c>
      <c r="B586" s="80" t="s">
        <v>2634</v>
      </c>
      <c r="C586" s="80">
        <v>2</v>
      </c>
      <c r="D586" s="104">
        <v>0.00040173028372176515</v>
      </c>
      <c r="E586" s="104">
        <v>3.315655525231531</v>
      </c>
      <c r="F586" s="80" t="s">
        <v>3370</v>
      </c>
      <c r="G586" s="80" t="b">
        <v>0</v>
      </c>
      <c r="H586" s="80" t="b">
        <v>0</v>
      </c>
      <c r="I586" s="80" t="b">
        <v>0</v>
      </c>
      <c r="J586" s="80" t="b">
        <v>0</v>
      </c>
      <c r="K586" s="80" t="b">
        <v>0</v>
      </c>
      <c r="L586" s="80" t="b">
        <v>0</v>
      </c>
    </row>
    <row r="587" spans="1:12" ht="15">
      <c r="A587" s="81" t="s">
        <v>2915</v>
      </c>
      <c r="B587" s="80" t="s">
        <v>2325</v>
      </c>
      <c r="C587" s="80">
        <v>2</v>
      </c>
      <c r="D587" s="104">
        <v>0.00040173028372176515</v>
      </c>
      <c r="E587" s="104">
        <v>2.8385342705118686</v>
      </c>
      <c r="F587" s="80" t="s">
        <v>3370</v>
      </c>
      <c r="G587" s="80" t="b">
        <v>0</v>
      </c>
      <c r="H587" s="80" t="b">
        <v>0</v>
      </c>
      <c r="I587" s="80" t="b">
        <v>0</v>
      </c>
      <c r="J587" s="80" t="b">
        <v>0</v>
      </c>
      <c r="K587" s="80" t="b">
        <v>0</v>
      </c>
      <c r="L587" s="80" t="b">
        <v>0</v>
      </c>
    </row>
    <row r="588" spans="1:12" ht="15">
      <c r="A588" s="81" t="s">
        <v>3009</v>
      </c>
      <c r="B588" s="80" t="s">
        <v>2227</v>
      </c>
      <c r="C588" s="80">
        <v>2</v>
      </c>
      <c r="D588" s="104">
        <v>0.00040173028372176515</v>
      </c>
      <c r="E588" s="104">
        <v>2.274262840073306</v>
      </c>
      <c r="F588" s="80" t="s">
        <v>3370</v>
      </c>
      <c r="G588" s="80" t="b">
        <v>0</v>
      </c>
      <c r="H588" s="80" t="b">
        <v>0</v>
      </c>
      <c r="I588" s="80" t="b">
        <v>0</v>
      </c>
      <c r="J588" s="80" t="b">
        <v>0</v>
      </c>
      <c r="K588" s="80" t="b">
        <v>0</v>
      </c>
      <c r="L588" s="80" t="b">
        <v>0</v>
      </c>
    </row>
    <row r="589" spans="1:12" ht="15">
      <c r="A589" s="81" t="s">
        <v>2590</v>
      </c>
      <c r="B589" s="80" t="s">
        <v>2994</v>
      </c>
      <c r="C589" s="80">
        <v>2</v>
      </c>
      <c r="D589" s="104">
        <v>0.00040173028372176515</v>
      </c>
      <c r="E589" s="104">
        <v>3.315655525231531</v>
      </c>
      <c r="F589" s="80" t="s">
        <v>3370</v>
      </c>
      <c r="G589" s="80" t="b">
        <v>1</v>
      </c>
      <c r="H589" s="80" t="b">
        <v>0</v>
      </c>
      <c r="I589" s="80" t="b">
        <v>0</v>
      </c>
      <c r="J589" s="80" t="b">
        <v>0</v>
      </c>
      <c r="K589" s="80" t="b">
        <v>1</v>
      </c>
      <c r="L589" s="80" t="b">
        <v>0</v>
      </c>
    </row>
    <row r="590" spans="1:12" ht="15">
      <c r="A590" s="81" t="s">
        <v>2220</v>
      </c>
      <c r="B590" s="80" t="s">
        <v>3319</v>
      </c>
      <c r="C590" s="80">
        <v>2</v>
      </c>
      <c r="D590" s="104">
        <v>0.00047366098758412623</v>
      </c>
      <c r="E590" s="104">
        <v>2.1542875229965563</v>
      </c>
      <c r="F590" s="80" t="s">
        <v>3370</v>
      </c>
      <c r="G590" s="80" t="b">
        <v>0</v>
      </c>
      <c r="H590" s="80" t="b">
        <v>0</v>
      </c>
      <c r="I590" s="80" t="b">
        <v>0</v>
      </c>
      <c r="J590" s="80" t="b">
        <v>0</v>
      </c>
      <c r="K590" s="80" t="b">
        <v>0</v>
      </c>
      <c r="L590" s="80" t="b">
        <v>0</v>
      </c>
    </row>
    <row r="591" spans="1:12" ht="15">
      <c r="A591" s="81" t="s">
        <v>2919</v>
      </c>
      <c r="B591" s="80" t="s">
        <v>2792</v>
      </c>
      <c r="C591" s="80">
        <v>2</v>
      </c>
      <c r="D591" s="104">
        <v>0.00040173028372176515</v>
      </c>
      <c r="E591" s="104">
        <v>3.440594261839831</v>
      </c>
      <c r="F591" s="80" t="s">
        <v>3370</v>
      </c>
      <c r="G591" s="80" t="b">
        <v>0</v>
      </c>
      <c r="H591" s="80" t="b">
        <v>0</v>
      </c>
      <c r="I591" s="80" t="b">
        <v>0</v>
      </c>
      <c r="J591" s="80" t="b">
        <v>0</v>
      </c>
      <c r="K591" s="80" t="b">
        <v>0</v>
      </c>
      <c r="L591" s="80" t="b">
        <v>0</v>
      </c>
    </row>
    <row r="592" spans="1:12" ht="15">
      <c r="A592" s="81" t="s">
        <v>2869</v>
      </c>
      <c r="B592" s="80" t="s">
        <v>2284</v>
      </c>
      <c r="C592" s="80">
        <v>2</v>
      </c>
      <c r="D592" s="104">
        <v>0.00040173028372176515</v>
      </c>
      <c r="E592" s="104">
        <v>2.565532998448131</v>
      </c>
      <c r="F592" s="80" t="s">
        <v>3370</v>
      </c>
      <c r="G592" s="80" t="b">
        <v>0</v>
      </c>
      <c r="H592" s="80" t="b">
        <v>0</v>
      </c>
      <c r="I592" s="80" t="b">
        <v>0</v>
      </c>
      <c r="J592" s="80" t="b">
        <v>0</v>
      </c>
      <c r="K592" s="80" t="b">
        <v>0</v>
      </c>
      <c r="L592" s="80" t="b">
        <v>0</v>
      </c>
    </row>
    <row r="593" spans="1:12" ht="15">
      <c r="A593" s="81" t="s">
        <v>2227</v>
      </c>
      <c r="B593" s="80" t="s">
        <v>2961</v>
      </c>
      <c r="C593" s="80">
        <v>2</v>
      </c>
      <c r="D593" s="104">
        <v>0.00040173028372176515</v>
      </c>
      <c r="E593" s="104">
        <v>2.274262840073306</v>
      </c>
      <c r="F593" s="80" t="s">
        <v>3370</v>
      </c>
      <c r="G593" s="80" t="b">
        <v>0</v>
      </c>
      <c r="H593" s="80" t="b">
        <v>0</v>
      </c>
      <c r="I593" s="80" t="b">
        <v>0</v>
      </c>
      <c r="J593" s="80" t="b">
        <v>0</v>
      </c>
      <c r="K593" s="80" t="b">
        <v>0</v>
      </c>
      <c r="L593" s="80" t="b">
        <v>0</v>
      </c>
    </row>
    <row r="594" spans="1:12" ht="15">
      <c r="A594" s="81" t="s">
        <v>2270</v>
      </c>
      <c r="B594" s="80" t="s">
        <v>2304</v>
      </c>
      <c r="C594" s="80">
        <v>2</v>
      </c>
      <c r="D594" s="104">
        <v>0.00040173028372176515</v>
      </c>
      <c r="E594" s="104">
        <v>1.8421685551669627</v>
      </c>
      <c r="F594" s="80" t="s">
        <v>3370</v>
      </c>
      <c r="G594" s="80" t="b">
        <v>0</v>
      </c>
      <c r="H594" s="80" t="b">
        <v>0</v>
      </c>
      <c r="I594" s="80" t="b">
        <v>0</v>
      </c>
      <c r="J594" s="80" t="b">
        <v>0</v>
      </c>
      <c r="K594" s="80" t="b">
        <v>0</v>
      </c>
      <c r="L594" s="80" t="b">
        <v>0</v>
      </c>
    </row>
    <row r="595" spans="1:12" ht="15">
      <c r="A595" s="81" t="s">
        <v>2442</v>
      </c>
      <c r="B595" s="80" t="s">
        <v>3173</v>
      </c>
      <c r="C595" s="80">
        <v>2</v>
      </c>
      <c r="D595" s="104">
        <v>0.00040173028372176515</v>
      </c>
      <c r="E595" s="104">
        <v>3.13956426617585</v>
      </c>
      <c r="F595" s="80" t="s">
        <v>3370</v>
      </c>
      <c r="G595" s="80" t="b">
        <v>1</v>
      </c>
      <c r="H595" s="80" t="b">
        <v>0</v>
      </c>
      <c r="I595" s="80" t="b">
        <v>0</v>
      </c>
      <c r="J595" s="80" t="b">
        <v>0</v>
      </c>
      <c r="K595" s="80" t="b">
        <v>0</v>
      </c>
      <c r="L595" s="80" t="b">
        <v>0</v>
      </c>
    </row>
    <row r="596" spans="1:12" ht="15">
      <c r="A596" s="81" t="s">
        <v>2229</v>
      </c>
      <c r="B596" s="80" t="s">
        <v>2877</v>
      </c>
      <c r="C596" s="80">
        <v>2</v>
      </c>
      <c r="D596" s="104">
        <v>0.00047366098758412623</v>
      </c>
      <c r="E596" s="104">
        <v>2.1288404007840764</v>
      </c>
      <c r="F596" s="80" t="s">
        <v>3370</v>
      </c>
      <c r="G596" s="80" t="b">
        <v>0</v>
      </c>
      <c r="H596" s="80" t="b">
        <v>0</v>
      </c>
      <c r="I596" s="80" t="b">
        <v>0</v>
      </c>
      <c r="J596" s="80" t="b">
        <v>0</v>
      </c>
      <c r="K596" s="80" t="b">
        <v>0</v>
      </c>
      <c r="L596" s="80" t="b">
        <v>0</v>
      </c>
    </row>
    <row r="597" spans="1:12" ht="15">
      <c r="A597" s="81" t="s">
        <v>2327</v>
      </c>
      <c r="B597" s="80" t="s">
        <v>2345</v>
      </c>
      <c r="C597" s="80">
        <v>2</v>
      </c>
      <c r="D597" s="104">
        <v>0.00040173028372176515</v>
      </c>
      <c r="E597" s="104">
        <v>2.13956426617585</v>
      </c>
      <c r="F597" s="80" t="s">
        <v>3370</v>
      </c>
      <c r="G597" s="80" t="b">
        <v>0</v>
      </c>
      <c r="H597" s="80" t="b">
        <v>0</v>
      </c>
      <c r="I597" s="80" t="b">
        <v>0</v>
      </c>
      <c r="J597" s="80" t="b">
        <v>0</v>
      </c>
      <c r="K597" s="80" t="b">
        <v>0</v>
      </c>
      <c r="L597" s="80" t="b">
        <v>0</v>
      </c>
    </row>
    <row r="598" spans="1:12" ht="15">
      <c r="A598" s="81" t="s">
        <v>2658</v>
      </c>
      <c r="B598" s="80" t="s">
        <v>2372</v>
      </c>
      <c r="C598" s="80">
        <v>2</v>
      </c>
      <c r="D598" s="104">
        <v>0.00040173028372176515</v>
      </c>
      <c r="E598" s="104">
        <v>2.7135955339035687</v>
      </c>
      <c r="F598" s="80" t="s">
        <v>3370</v>
      </c>
      <c r="G598" s="80" t="b">
        <v>0</v>
      </c>
      <c r="H598" s="80" t="b">
        <v>0</v>
      </c>
      <c r="I598" s="80" t="b">
        <v>0</v>
      </c>
      <c r="J598" s="80" t="b">
        <v>0</v>
      </c>
      <c r="K598" s="80" t="b">
        <v>0</v>
      </c>
      <c r="L598" s="80" t="b">
        <v>0</v>
      </c>
    </row>
    <row r="599" spans="1:12" ht="15">
      <c r="A599" s="81" t="s">
        <v>3247</v>
      </c>
      <c r="B599" s="80" t="s">
        <v>2250</v>
      </c>
      <c r="C599" s="80">
        <v>2</v>
      </c>
      <c r="D599" s="104">
        <v>0.00040173028372176515</v>
      </c>
      <c r="E599" s="104">
        <v>2.5559876805419006</v>
      </c>
      <c r="F599" s="80" t="s">
        <v>3370</v>
      </c>
      <c r="G599" s="80" t="b">
        <v>0</v>
      </c>
      <c r="H599" s="80" t="b">
        <v>0</v>
      </c>
      <c r="I599" s="80" t="b">
        <v>0</v>
      </c>
      <c r="J599" s="80" t="b">
        <v>0</v>
      </c>
      <c r="K599" s="80" t="b">
        <v>0</v>
      </c>
      <c r="L599" s="80" t="b">
        <v>0</v>
      </c>
    </row>
    <row r="600" spans="1:12" ht="15">
      <c r="A600" s="81" t="s">
        <v>2972</v>
      </c>
      <c r="B600" s="80" t="s">
        <v>2980</v>
      </c>
      <c r="C600" s="80">
        <v>2</v>
      </c>
      <c r="D600" s="104">
        <v>0.00040173028372176515</v>
      </c>
      <c r="E600" s="104">
        <v>3.616685520895512</v>
      </c>
      <c r="F600" s="80" t="s">
        <v>3370</v>
      </c>
      <c r="G600" s="80" t="b">
        <v>0</v>
      </c>
      <c r="H600" s="80" t="b">
        <v>0</v>
      </c>
      <c r="I600" s="80" t="b">
        <v>0</v>
      </c>
      <c r="J600" s="80" t="b">
        <v>0</v>
      </c>
      <c r="K600" s="80" t="b">
        <v>0</v>
      </c>
      <c r="L600" s="80" t="b">
        <v>0</v>
      </c>
    </row>
    <row r="601" spans="1:12" ht="15">
      <c r="A601" s="81" t="s">
        <v>3067</v>
      </c>
      <c r="B601" s="80" t="s">
        <v>3310</v>
      </c>
      <c r="C601" s="80">
        <v>2</v>
      </c>
      <c r="D601" s="104">
        <v>0.00040173028372176515</v>
      </c>
      <c r="E601" s="104">
        <v>3.616685520895512</v>
      </c>
      <c r="F601" s="80" t="s">
        <v>3370</v>
      </c>
      <c r="G601" s="80" t="b">
        <v>0</v>
      </c>
      <c r="H601" s="80" t="b">
        <v>0</v>
      </c>
      <c r="I601" s="80" t="b">
        <v>0</v>
      </c>
      <c r="J601" s="80" t="b">
        <v>0</v>
      </c>
      <c r="K601" s="80" t="b">
        <v>0</v>
      </c>
      <c r="L601" s="80" t="b">
        <v>0</v>
      </c>
    </row>
    <row r="602" spans="1:12" ht="15">
      <c r="A602" s="81" t="s">
        <v>2348</v>
      </c>
      <c r="B602" s="80" t="s">
        <v>2519</v>
      </c>
      <c r="C602" s="80">
        <v>2</v>
      </c>
      <c r="D602" s="104">
        <v>0.00040173028372176515</v>
      </c>
      <c r="E602" s="104">
        <v>2.5197755078874557</v>
      </c>
      <c r="F602" s="80" t="s">
        <v>3370</v>
      </c>
      <c r="G602" s="80" t="b">
        <v>0</v>
      </c>
      <c r="H602" s="80" t="b">
        <v>0</v>
      </c>
      <c r="I602" s="80" t="b">
        <v>0</v>
      </c>
      <c r="J602" s="80" t="b">
        <v>0</v>
      </c>
      <c r="K602" s="80" t="b">
        <v>0</v>
      </c>
      <c r="L602" s="80" t="b">
        <v>0</v>
      </c>
    </row>
    <row r="603" spans="1:12" ht="15">
      <c r="A603" s="81" t="s">
        <v>2242</v>
      </c>
      <c r="B603" s="80" t="s">
        <v>2321</v>
      </c>
      <c r="C603" s="80">
        <v>2</v>
      </c>
      <c r="D603" s="104">
        <v>0.00040173028372176515</v>
      </c>
      <c r="E603" s="104">
        <v>1.6924062348336306</v>
      </c>
      <c r="F603" s="80" t="s">
        <v>3370</v>
      </c>
      <c r="G603" s="80" t="b">
        <v>0</v>
      </c>
      <c r="H603" s="80" t="b">
        <v>0</v>
      </c>
      <c r="I603" s="80" t="b">
        <v>0</v>
      </c>
      <c r="J603" s="80" t="b">
        <v>0</v>
      </c>
      <c r="K603" s="80" t="b">
        <v>0</v>
      </c>
      <c r="L603" s="80" t="b">
        <v>0</v>
      </c>
    </row>
    <row r="604" spans="1:12" ht="15">
      <c r="A604" s="81" t="s">
        <v>2503</v>
      </c>
      <c r="B604" s="80" t="s">
        <v>2227</v>
      </c>
      <c r="C604" s="80">
        <v>2</v>
      </c>
      <c r="D604" s="104">
        <v>0.00047366098758412623</v>
      </c>
      <c r="E604" s="104">
        <v>1.8763228314012683</v>
      </c>
      <c r="F604" s="80" t="s">
        <v>3370</v>
      </c>
      <c r="G604" s="80" t="b">
        <v>0</v>
      </c>
      <c r="H604" s="80" t="b">
        <v>0</v>
      </c>
      <c r="I604" s="80" t="b">
        <v>0</v>
      </c>
      <c r="J604" s="80" t="b">
        <v>0</v>
      </c>
      <c r="K604" s="80" t="b">
        <v>0</v>
      </c>
      <c r="L604" s="80" t="b">
        <v>0</v>
      </c>
    </row>
    <row r="605" spans="1:12" ht="15">
      <c r="A605" s="81" t="s">
        <v>3157</v>
      </c>
      <c r="B605" s="80" t="s">
        <v>3247</v>
      </c>
      <c r="C605" s="80">
        <v>2</v>
      </c>
      <c r="D605" s="104">
        <v>0.00040173028372176515</v>
      </c>
      <c r="E605" s="104">
        <v>3.616685520895512</v>
      </c>
      <c r="F605" s="80" t="s">
        <v>3370</v>
      </c>
      <c r="G605" s="80" t="b">
        <v>0</v>
      </c>
      <c r="H605" s="80" t="b">
        <v>0</v>
      </c>
      <c r="I605" s="80" t="b">
        <v>0</v>
      </c>
      <c r="J605" s="80" t="b">
        <v>0</v>
      </c>
      <c r="K605" s="80" t="b">
        <v>0</v>
      </c>
      <c r="L605" s="80" t="b">
        <v>0</v>
      </c>
    </row>
    <row r="606" spans="1:12" ht="15">
      <c r="A606" s="81" t="s">
        <v>2230</v>
      </c>
      <c r="B606" s="80" t="s">
        <v>2685</v>
      </c>
      <c r="C606" s="80">
        <v>2</v>
      </c>
      <c r="D606" s="104">
        <v>0.00040173028372176515</v>
      </c>
      <c r="E606" s="104">
        <v>2.1288404007840764</v>
      </c>
      <c r="F606" s="80" t="s">
        <v>3370</v>
      </c>
      <c r="G606" s="80" t="b">
        <v>0</v>
      </c>
      <c r="H606" s="80" t="b">
        <v>0</v>
      </c>
      <c r="I606" s="80" t="b">
        <v>0</v>
      </c>
      <c r="J606" s="80" t="b">
        <v>0</v>
      </c>
      <c r="K606" s="80" t="b">
        <v>0</v>
      </c>
      <c r="L606" s="80" t="b">
        <v>0</v>
      </c>
    </row>
    <row r="607" spans="1:12" ht="15">
      <c r="A607" s="81" t="s">
        <v>2616</v>
      </c>
      <c r="B607" s="80" t="s">
        <v>2236</v>
      </c>
      <c r="C607" s="80">
        <v>2</v>
      </c>
      <c r="D607" s="104">
        <v>0.00040173028372176515</v>
      </c>
      <c r="E607" s="104">
        <v>2.111535542575606</v>
      </c>
      <c r="F607" s="80" t="s">
        <v>3370</v>
      </c>
      <c r="G607" s="80" t="b">
        <v>0</v>
      </c>
      <c r="H607" s="80" t="b">
        <v>0</v>
      </c>
      <c r="I607" s="80" t="b">
        <v>0</v>
      </c>
      <c r="J607" s="80" t="b">
        <v>0</v>
      </c>
      <c r="K607" s="80" t="b">
        <v>0</v>
      </c>
      <c r="L607" s="80" t="b">
        <v>0</v>
      </c>
    </row>
    <row r="608" spans="1:12" ht="15">
      <c r="A608" s="81" t="s">
        <v>3130</v>
      </c>
      <c r="B608" s="80" t="s">
        <v>3175</v>
      </c>
      <c r="C608" s="80">
        <v>2</v>
      </c>
      <c r="D608" s="104">
        <v>0.00040173028372176515</v>
      </c>
      <c r="E608" s="104">
        <v>3.616685520895512</v>
      </c>
      <c r="F608" s="80" t="s">
        <v>3370</v>
      </c>
      <c r="G608" s="80" t="b">
        <v>0</v>
      </c>
      <c r="H608" s="80" t="b">
        <v>0</v>
      </c>
      <c r="I608" s="80" t="b">
        <v>0</v>
      </c>
      <c r="J608" s="80" t="b">
        <v>1</v>
      </c>
      <c r="K608" s="80" t="b">
        <v>0</v>
      </c>
      <c r="L608" s="80" t="b">
        <v>0</v>
      </c>
    </row>
    <row r="609" spans="1:12" ht="15">
      <c r="A609" s="81" t="s">
        <v>2304</v>
      </c>
      <c r="B609" s="80" t="s">
        <v>2746</v>
      </c>
      <c r="C609" s="80">
        <v>2</v>
      </c>
      <c r="D609" s="104">
        <v>0.00047366098758412623</v>
      </c>
      <c r="E609" s="104">
        <v>2.595496221825574</v>
      </c>
      <c r="F609" s="80" t="s">
        <v>3370</v>
      </c>
      <c r="G609" s="80" t="b">
        <v>0</v>
      </c>
      <c r="H609" s="80" t="b">
        <v>0</v>
      </c>
      <c r="I609" s="80" t="b">
        <v>0</v>
      </c>
      <c r="J609" s="80" t="b">
        <v>0</v>
      </c>
      <c r="K609" s="80" t="b">
        <v>0</v>
      </c>
      <c r="L609" s="80" t="b">
        <v>0</v>
      </c>
    </row>
    <row r="610" spans="1:12" ht="15">
      <c r="A610" s="81" t="s">
        <v>2237</v>
      </c>
      <c r="B610" s="80" t="s">
        <v>2948</v>
      </c>
      <c r="C610" s="80">
        <v>2</v>
      </c>
      <c r="D610" s="104">
        <v>0.00040173028372176515</v>
      </c>
      <c r="E610" s="104">
        <v>2.4263538227252206</v>
      </c>
      <c r="F610" s="80" t="s">
        <v>3370</v>
      </c>
      <c r="G610" s="80" t="b">
        <v>0</v>
      </c>
      <c r="H610" s="80" t="b">
        <v>0</v>
      </c>
      <c r="I610" s="80" t="b">
        <v>0</v>
      </c>
      <c r="J610" s="80" t="b">
        <v>0</v>
      </c>
      <c r="K610" s="80" t="b">
        <v>0</v>
      </c>
      <c r="L610" s="80" t="b">
        <v>0</v>
      </c>
    </row>
    <row r="611" spans="1:12" ht="15">
      <c r="A611" s="81" t="s">
        <v>2439</v>
      </c>
      <c r="B611" s="80" t="s">
        <v>2235</v>
      </c>
      <c r="C611" s="80">
        <v>2</v>
      </c>
      <c r="D611" s="104">
        <v>0.00040173028372176515</v>
      </c>
      <c r="E611" s="104">
        <v>1.935444283519925</v>
      </c>
      <c r="F611" s="80" t="s">
        <v>3370</v>
      </c>
      <c r="G611" s="80" t="b">
        <v>0</v>
      </c>
      <c r="H611" s="80" t="b">
        <v>0</v>
      </c>
      <c r="I611" s="80" t="b">
        <v>0</v>
      </c>
      <c r="J611" s="80" t="b">
        <v>0</v>
      </c>
      <c r="K611" s="80" t="b">
        <v>0</v>
      </c>
      <c r="L611" s="80" t="b">
        <v>0</v>
      </c>
    </row>
    <row r="612" spans="1:12" ht="15">
      <c r="A612" s="81" t="s">
        <v>2604</v>
      </c>
      <c r="B612" s="80" t="s">
        <v>3214</v>
      </c>
      <c r="C612" s="80">
        <v>2</v>
      </c>
      <c r="D612" s="104">
        <v>0.00047366098758412623</v>
      </c>
      <c r="E612" s="104">
        <v>3.315655525231531</v>
      </c>
      <c r="F612" s="80" t="s">
        <v>3370</v>
      </c>
      <c r="G612" s="80" t="b">
        <v>0</v>
      </c>
      <c r="H612" s="80" t="b">
        <v>0</v>
      </c>
      <c r="I612" s="80" t="b">
        <v>0</v>
      </c>
      <c r="J612" s="80" t="b">
        <v>0</v>
      </c>
      <c r="K612" s="80" t="b">
        <v>0</v>
      </c>
      <c r="L612" s="80" t="b">
        <v>0</v>
      </c>
    </row>
    <row r="613" spans="1:12" ht="15">
      <c r="A613" s="81" t="s">
        <v>2267</v>
      </c>
      <c r="B613" s="80" t="s">
        <v>3017</v>
      </c>
      <c r="C613" s="80">
        <v>2</v>
      </c>
      <c r="D613" s="104">
        <v>0.00040173028372176515</v>
      </c>
      <c r="E613" s="104">
        <v>2.6624430114561872</v>
      </c>
      <c r="F613" s="80" t="s">
        <v>3370</v>
      </c>
      <c r="G613" s="80" t="b">
        <v>0</v>
      </c>
      <c r="H613" s="80" t="b">
        <v>0</v>
      </c>
      <c r="I613" s="80" t="b">
        <v>0</v>
      </c>
      <c r="J613" s="80" t="b">
        <v>0</v>
      </c>
      <c r="K613" s="80" t="b">
        <v>0</v>
      </c>
      <c r="L613" s="80" t="b">
        <v>0</v>
      </c>
    </row>
    <row r="614" spans="1:12" ht="15">
      <c r="A614" s="81" t="s">
        <v>3147</v>
      </c>
      <c r="B614" s="80" t="s">
        <v>2242</v>
      </c>
      <c r="C614" s="80">
        <v>2</v>
      </c>
      <c r="D614" s="104">
        <v>0.00040173028372176515</v>
      </c>
      <c r="E614" s="104">
        <v>2.4705574852172743</v>
      </c>
      <c r="F614" s="80" t="s">
        <v>3370</v>
      </c>
      <c r="G614" s="80" t="b">
        <v>0</v>
      </c>
      <c r="H614" s="80" t="b">
        <v>0</v>
      </c>
      <c r="I614" s="80" t="b">
        <v>0</v>
      </c>
      <c r="J614" s="80" t="b">
        <v>0</v>
      </c>
      <c r="K614" s="80" t="b">
        <v>0</v>
      </c>
      <c r="L614" s="80" t="b">
        <v>0</v>
      </c>
    </row>
    <row r="615" spans="1:12" ht="15">
      <c r="A615" s="81" t="s">
        <v>2230</v>
      </c>
      <c r="B615" s="80" t="s">
        <v>2250</v>
      </c>
      <c r="C615" s="80">
        <v>2</v>
      </c>
      <c r="D615" s="104">
        <v>0.00040173028372176515</v>
      </c>
      <c r="E615" s="104">
        <v>1.2442338194861462</v>
      </c>
      <c r="F615" s="80" t="s">
        <v>3370</v>
      </c>
      <c r="G615" s="80" t="b">
        <v>0</v>
      </c>
      <c r="H615" s="80" t="b">
        <v>0</v>
      </c>
      <c r="I615" s="80" t="b">
        <v>0</v>
      </c>
      <c r="J615" s="80" t="b">
        <v>0</v>
      </c>
      <c r="K615" s="80" t="b">
        <v>0</v>
      </c>
      <c r="L615" s="80" t="b">
        <v>0</v>
      </c>
    </row>
    <row r="616" spans="1:12" ht="15">
      <c r="A616" s="81" t="s">
        <v>2586</v>
      </c>
      <c r="B616" s="80" t="s">
        <v>2396</v>
      </c>
      <c r="C616" s="80">
        <v>2</v>
      </c>
      <c r="D616" s="104">
        <v>0.00040173028372176515</v>
      </c>
      <c r="E616" s="104">
        <v>2.7715874808812555</v>
      </c>
      <c r="F616" s="80" t="s">
        <v>3370</v>
      </c>
      <c r="G616" s="80" t="b">
        <v>0</v>
      </c>
      <c r="H616" s="80" t="b">
        <v>0</v>
      </c>
      <c r="I616" s="80" t="b">
        <v>0</v>
      </c>
      <c r="J616" s="80" t="b">
        <v>0</v>
      </c>
      <c r="K616" s="80" t="b">
        <v>0</v>
      </c>
      <c r="L616" s="80" t="b">
        <v>0</v>
      </c>
    </row>
    <row r="617" spans="1:12" ht="15">
      <c r="A617" s="81" t="s">
        <v>3214</v>
      </c>
      <c r="B617" s="80" t="s">
        <v>2318</v>
      </c>
      <c r="C617" s="80">
        <v>2</v>
      </c>
      <c r="D617" s="104">
        <v>0.00047366098758412623</v>
      </c>
      <c r="E617" s="104">
        <v>2.8037721642526567</v>
      </c>
      <c r="F617" s="80" t="s">
        <v>3370</v>
      </c>
      <c r="G617" s="80" t="b">
        <v>0</v>
      </c>
      <c r="H617" s="80" t="b">
        <v>0</v>
      </c>
      <c r="I617" s="80" t="b">
        <v>0</v>
      </c>
      <c r="J617" s="80" t="b">
        <v>0</v>
      </c>
      <c r="K617" s="80" t="b">
        <v>0</v>
      </c>
      <c r="L617" s="80" t="b">
        <v>0</v>
      </c>
    </row>
    <row r="618" spans="1:12" ht="15">
      <c r="A618" s="81" t="s">
        <v>2939</v>
      </c>
      <c r="B618" s="80" t="s">
        <v>3004</v>
      </c>
      <c r="C618" s="80">
        <v>2</v>
      </c>
      <c r="D618" s="104">
        <v>0.00047366098758412623</v>
      </c>
      <c r="E618" s="104">
        <v>3.616685520895512</v>
      </c>
      <c r="F618" s="80" t="s">
        <v>3370</v>
      </c>
      <c r="G618" s="80" t="b">
        <v>0</v>
      </c>
      <c r="H618" s="80" t="b">
        <v>0</v>
      </c>
      <c r="I618" s="80" t="b">
        <v>0</v>
      </c>
      <c r="J618" s="80" t="b">
        <v>0</v>
      </c>
      <c r="K618" s="80" t="b">
        <v>0</v>
      </c>
      <c r="L618" s="80" t="b">
        <v>0</v>
      </c>
    </row>
    <row r="619" spans="1:12" ht="15">
      <c r="A619" s="81" t="s">
        <v>3226</v>
      </c>
      <c r="B619" s="80" t="s">
        <v>2900</v>
      </c>
      <c r="C619" s="80">
        <v>2</v>
      </c>
      <c r="D619" s="104">
        <v>0.00040173028372176515</v>
      </c>
      <c r="E619" s="104">
        <v>3.616685520895512</v>
      </c>
      <c r="F619" s="80" t="s">
        <v>3370</v>
      </c>
      <c r="G619" s="80" t="b">
        <v>0</v>
      </c>
      <c r="H619" s="80" t="b">
        <v>0</v>
      </c>
      <c r="I619" s="80" t="b">
        <v>0</v>
      </c>
      <c r="J619" s="80" t="b">
        <v>0</v>
      </c>
      <c r="K619" s="80" t="b">
        <v>0</v>
      </c>
      <c r="L619" s="80" t="b">
        <v>0</v>
      </c>
    </row>
    <row r="620" spans="1:12" ht="15">
      <c r="A620" s="81" t="s">
        <v>2277</v>
      </c>
      <c r="B620" s="80" t="s">
        <v>2344</v>
      </c>
      <c r="C620" s="80">
        <v>2</v>
      </c>
      <c r="D620" s="104">
        <v>0.00040173028372176515</v>
      </c>
      <c r="E620" s="104">
        <v>2.01462552956755</v>
      </c>
      <c r="F620" s="80" t="s">
        <v>3370</v>
      </c>
      <c r="G620" s="80" t="b">
        <v>0</v>
      </c>
      <c r="H620" s="80" t="b">
        <v>0</v>
      </c>
      <c r="I620" s="80" t="b">
        <v>0</v>
      </c>
      <c r="J620" s="80" t="b">
        <v>0</v>
      </c>
      <c r="K620" s="80" t="b">
        <v>0</v>
      </c>
      <c r="L620" s="80" t="b">
        <v>0</v>
      </c>
    </row>
    <row r="621" spans="1:12" ht="15">
      <c r="A621" s="81" t="s">
        <v>3181</v>
      </c>
      <c r="B621" s="80" t="s">
        <v>2322</v>
      </c>
      <c r="C621" s="80">
        <v>2</v>
      </c>
      <c r="D621" s="104">
        <v>0.00040173028372176515</v>
      </c>
      <c r="E621" s="104">
        <v>2.8385342705118686</v>
      </c>
      <c r="F621" s="80" t="s">
        <v>3370</v>
      </c>
      <c r="G621" s="80" t="b">
        <v>0</v>
      </c>
      <c r="H621" s="80" t="b">
        <v>0</v>
      </c>
      <c r="I621" s="80" t="b">
        <v>0</v>
      </c>
      <c r="J621" s="80" t="b">
        <v>0</v>
      </c>
      <c r="K621" s="80" t="b">
        <v>0</v>
      </c>
      <c r="L621" s="80" t="b">
        <v>0</v>
      </c>
    </row>
    <row r="622" spans="1:12" ht="15">
      <c r="A622" s="81" t="s">
        <v>2989</v>
      </c>
      <c r="B622" s="80" t="s">
        <v>2246</v>
      </c>
      <c r="C622" s="80">
        <v>2</v>
      </c>
      <c r="D622" s="104">
        <v>0.00040173028372176515</v>
      </c>
      <c r="E622" s="104">
        <v>2.5197755078874557</v>
      </c>
      <c r="F622" s="80" t="s">
        <v>3370</v>
      </c>
      <c r="G622" s="80" t="b">
        <v>1</v>
      </c>
      <c r="H622" s="80" t="b">
        <v>0</v>
      </c>
      <c r="I622" s="80" t="b">
        <v>0</v>
      </c>
      <c r="J622" s="80" t="b">
        <v>0</v>
      </c>
      <c r="K622" s="80" t="b">
        <v>0</v>
      </c>
      <c r="L622" s="80" t="b">
        <v>0</v>
      </c>
    </row>
    <row r="623" spans="1:12" ht="15">
      <c r="A623" s="81" t="s">
        <v>2217</v>
      </c>
      <c r="B623" s="80" t="s">
        <v>2883</v>
      </c>
      <c r="C623" s="80">
        <v>2</v>
      </c>
      <c r="D623" s="104">
        <v>0.00040173028372176515</v>
      </c>
      <c r="E623" s="104">
        <v>2.104802159916638</v>
      </c>
      <c r="F623" s="80" t="s">
        <v>3370</v>
      </c>
      <c r="G623" s="80" t="b">
        <v>0</v>
      </c>
      <c r="H623" s="80" t="b">
        <v>0</v>
      </c>
      <c r="I623" s="80" t="b">
        <v>0</v>
      </c>
      <c r="J623" s="80" t="b">
        <v>0</v>
      </c>
      <c r="K623" s="80" t="b">
        <v>0</v>
      </c>
      <c r="L623" s="80" t="b">
        <v>0</v>
      </c>
    </row>
    <row r="624" spans="1:12" ht="15">
      <c r="A624" s="81" t="s">
        <v>2694</v>
      </c>
      <c r="B624" s="80" t="s">
        <v>2745</v>
      </c>
      <c r="C624" s="80">
        <v>2</v>
      </c>
      <c r="D624" s="104">
        <v>0.00047366098758412623</v>
      </c>
      <c r="E624" s="104">
        <v>3.2645030027841497</v>
      </c>
      <c r="F624" s="80" t="s">
        <v>3370</v>
      </c>
      <c r="G624" s="80" t="b">
        <v>0</v>
      </c>
      <c r="H624" s="80" t="b">
        <v>0</v>
      </c>
      <c r="I624" s="80" t="b">
        <v>0</v>
      </c>
      <c r="J624" s="80" t="b">
        <v>0</v>
      </c>
      <c r="K624" s="80" t="b">
        <v>0</v>
      </c>
      <c r="L624" s="80" t="b">
        <v>0</v>
      </c>
    </row>
    <row r="625" spans="1:12" ht="15">
      <c r="A625" s="81" t="s">
        <v>2885</v>
      </c>
      <c r="B625" s="80" t="s">
        <v>2504</v>
      </c>
      <c r="C625" s="80">
        <v>2</v>
      </c>
      <c r="D625" s="104">
        <v>0.00040173028372176515</v>
      </c>
      <c r="E625" s="104">
        <v>3.2187455122234745</v>
      </c>
      <c r="F625" s="80" t="s">
        <v>3370</v>
      </c>
      <c r="G625" s="80" t="b">
        <v>0</v>
      </c>
      <c r="H625" s="80" t="b">
        <v>0</v>
      </c>
      <c r="I625" s="80" t="b">
        <v>0</v>
      </c>
      <c r="J625" s="80" t="b">
        <v>0</v>
      </c>
      <c r="K625" s="80" t="b">
        <v>1</v>
      </c>
      <c r="L625" s="80" t="b">
        <v>0</v>
      </c>
    </row>
    <row r="626" spans="1:12" ht="15">
      <c r="A626" s="81" t="s">
        <v>2217</v>
      </c>
      <c r="B626" s="80" t="s">
        <v>2405</v>
      </c>
      <c r="C626" s="80">
        <v>2</v>
      </c>
      <c r="D626" s="104">
        <v>0.00047366098758412623</v>
      </c>
      <c r="E626" s="104">
        <v>1.560734115566362</v>
      </c>
      <c r="F626" s="80" t="s">
        <v>3370</v>
      </c>
      <c r="G626" s="80" t="b">
        <v>0</v>
      </c>
      <c r="H626" s="80" t="b">
        <v>0</v>
      </c>
      <c r="I626" s="80" t="b">
        <v>0</v>
      </c>
      <c r="J626" s="80" t="b">
        <v>0</v>
      </c>
      <c r="K626" s="80" t="b">
        <v>0</v>
      </c>
      <c r="L626" s="80" t="b">
        <v>0</v>
      </c>
    </row>
    <row r="627" spans="1:12" ht="15">
      <c r="A627" s="81" t="s">
        <v>2223</v>
      </c>
      <c r="B627" s="80" t="s">
        <v>3307</v>
      </c>
      <c r="C627" s="80">
        <v>2</v>
      </c>
      <c r="D627" s="104">
        <v>0.00047366098758412623</v>
      </c>
      <c r="E627" s="104">
        <v>2.210145340461557</v>
      </c>
      <c r="F627" s="80" t="s">
        <v>3370</v>
      </c>
      <c r="G627" s="80" t="b">
        <v>0</v>
      </c>
      <c r="H627" s="80" t="b">
        <v>0</v>
      </c>
      <c r="I627" s="80" t="b">
        <v>0</v>
      </c>
      <c r="J627" s="80" t="b">
        <v>0</v>
      </c>
      <c r="K627" s="80" t="b">
        <v>0</v>
      </c>
      <c r="L627" s="80" t="b">
        <v>0</v>
      </c>
    </row>
    <row r="628" spans="1:12" ht="15">
      <c r="A628" s="81" t="s">
        <v>3286</v>
      </c>
      <c r="B628" s="80" t="s">
        <v>2259</v>
      </c>
      <c r="C628" s="80">
        <v>2</v>
      </c>
      <c r="D628" s="104">
        <v>0.00047366098758412623</v>
      </c>
      <c r="E628" s="104">
        <v>2.6389619156066644</v>
      </c>
      <c r="F628" s="80" t="s">
        <v>3370</v>
      </c>
      <c r="G628" s="80" t="b">
        <v>0</v>
      </c>
      <c r="H628" s="80" t="b">
        <v>0</v>
      </c>
      <c r="I628" s="80" t="b">
        <v>0</v>
      </c>
      <c r="J628" s="80" t="b">
        <v>0</v>
      </c>
      <c r="K628" s="80" t="b">
        <v>0</v>
      </c>
      <c r="L628" s="80" t="b">
        <v>0</v>
      </c>
    </row>
    <row r="629" spans="1:12" ht="15">
      <c r="A629" s="81" t="s">
        <v>3217</v>
      </c>
      <c r="B629" s="80" t="s">
        <v>3029</v>
      </c>
      <c r="C629" s="80">
        <v>2</v>
      </c>
      <c r="D629" s="104">
        <v>0.00040173028372176515</v>
      </c>
      <c r="E629" s="104">
        <v>3.616685520895512</v>
      </c>
      <c r="F629" s="80" t="s">
        <v>3370</v>
      </c>
      <c r="G629" s="80" t="b">
        <v>0</v>
      </c>
      <c r="H629" s="80" t="b">
        <v>0</v>
      </c>
      <c r="I629" s="80" t="b">
        <v>0</v>
      </c>
      <c r="J629" s="80" t="b">
        <v>0</v>
      </c>
      <c r="K629" s="80" t="b">
        <v>0</v>
      </c>
      <c r="L629" s="80" t="b">
        <v>0</v>
      </c>
    </row>
    <row r="630" spans="1:12" ht="15">
      <c r="A630" s="81" t="s">
        <v>3285</v>
      </c>
      <c r="B630" s="80" t="s">
        <v>2213</v>
      </c>
      <c r="C630" s="80">
        <v>2</v>
      </c>
      <c r="D630" s="104">
        <v>0.00047366098758412623</v>
      </c>
      <c r="E630" s="104">
        <v>1.8608106652230207</v>
      </c>
      <c r="F630" s="80" t="s">
        <v>3370</v>
      </c>
      <c r="G630" s="80" t="b">
        <v>0</v>
      </c>
      <c r="H630" s="80" t="b">
        <v>0</v>
      </c>
      <c r="I630" s="80" t="b">
        <v>0</v>
      </c>
      <c r="J630" s="80" t="b">
        <v>0</v>
      </c>
      <c r="K630" s="80" t="b">
        <v>0</v>
      </c>
      <c r="L630" s="80" t="b">
        <v>0</v>
      </c>
    </row>
    <row r="631" spans="1:12" ht="15">
      <c r="A631" s="81" t="s">
        <v>2281</v>
      </c>
      <c r="B631" s="80" t="s">
        <v>3131</v>
      </c>
      <c r="C631" s="80">
        <v>2</v>
      </c>
      <c r="D631" s="104">
        <v>0.00040173028372176515</v>
      </c>
      <c r="E631" s="104">
        <v>2.7135955339035687</v>
      </c>
      <c r="F631" s="80" t="s">
        <v>3370</v>
      </c>
      <c r="G631" s="80" t="b">
        <v>0</v>
      </c>
      <c r="H631" s="80" t="b">
        <v>0</v>
      </c>
      <c r="I631" s="80" t="b">
        <v>0</v>
      </c>
      <c r="J631" s="80" t="b">
        <v>0</v>
      </c>
      <c r="K631" s="80" t="b">
        <v>0</v>
      </c>
      <c r="L631" s="80" t="b">
        <v>0</v>
      </c>
    </row>
    <row r="632" spans="1:12" ht="15">
      <c r="A632" s="81" t="s">
        <v>2673</v>
      </c>
      <c r="B632" s="80" t="s">
        <v>2728</v>
      </c>
      <c r="C632" s="80">
        <v>2</v>
      </c>
      <c r="D632" s="104">
        <v>0.00040173028372176515</v>
      </c>
      <c r="E632" s="104">
        <v>3.13956426617585</v>
      </c>
      <c r="F632" s="80" t="s">
        <v>3370</v>
      </c>
      <c r="G632" s="80" t="b">
        <v>0</v>
      </c>
      <c r="H632" s="80" t="b">
        <v>0</v>
      </c>
      <c r="I632" s="80" t="b">
        <v>0</v>
      </c>
      <c r="J632" s="80" t="b">
        <v>0</v>
      </c>
      <c r="K632" s="80" t="b">
        <v>0</v>
      </c>
      <c r="L632" s="80" t="b">
        <v>0</v>
      </c>
    </row>
    <row r="633" spans="1:12" ht="15">
      <c r="A633" s="81" t="s">
        <v>2457</v>
      </c>
      <c r="B633" s="80" t="s">
        <v>2429</v>
      </c>
      <c r="C633" s="80">
        <v>2</v>
      </c>
      <c r="D633" s="104">
        <v>0.00040173028372176515</v>
      </c>
      <c r="E633" s="104">
        <v>2.6624430114561872</v>
      </c>
      <c r="F633" s="80" t="s">
        <v>3370</v>
      </c>
      <c r="G633" s="80" t="b">
        <v>0</v>
      </c>
      <c r="H633" s="80" t="b">
        <v>0</v>
      </c>
      <c r="I633" s="80" t="b">
        <v>0</v>
      </c>
      <c r="J633" s="80" t="b">
        <v>0</v>
      </c>
      <c r="K633" s="80" t="b">
        <v>0</v>
      </c>
      <c r="L633" s="80" t="b">
        <v>0</v>
      </c>
    </row>
    <row r="634" spans="1:12" ht="15">
      <c r="A634" s="81" t="s">
        <v>2604</v>
      </c>
      <c r="B634" s="80" t="s">
        <v>3019</v>
      </c>
      <c r="C634" s="80">
        <v>2</v>
      </c>
      <c r="D634" s="104">
        <v>0.00040173028372176515</v>
      </c>
      <c r="E634" s="104">
        <v>3.315655525231531</v>
      </c>
      <c r="F634" s="80" t="s">
        <v>3370</v>
      </c>
      <c r="G634" s="80" t="b">
        <v>0</v>
      </c>
      <c r="H634" s="80" t="b">
        <v>0</v>
      </c>
      <c r="I634" s="80" t="b">
        <v>0</v>
      </c>
      <c r="J634" s="80" t="b">
        <v>0</v>
      </c>
      <c r="K634" s="80" t="b">
        <v>0</v>
      </c>
      <c r="L634" s="80" t="b">
        <v>0</v>
      </c>
    </row>
    <row r="635" spans="1:12" ht="15">
      <c r="A635" s="81" t="s">
        <v>3229</v>
      </c>
      <c r="B635" s="80" t="s">
        <v>3123</v>
      </c>
      <c r="C635" s="80">
        <v>2</v>
      </c>
      <c r="D635" s="104">
        <v>0.00040173028372176515</v>
      </c>
      <c r="E635" s="104">
        <v>3.616685520895512</v>
      </c>
      <c r="F635" s="80" t="s">
        <v>3370</v>
      </c>
      <c r="G635" s="80" t="b">
        <v>0</v>
      </c>
      <c r="H635" s="80" t="b">
        <v>0</v>
      </c>
      <c r="I635" s="80" t="b">
        <v>0</v>
      </c>
      <c r="J635" s="80" t="b">
        <v>0</v>
      </c>
      <c r="K635" s="80" t="b">
        <v>0</v>
      </c>
      <c r="L635" s="80" t="b">
        <v>0</v>
      </c>
    </row>
    <row r="636" spans="1:12" ht="15">
      <c r="A636" s="81" t="s">
        <v>3243</v>
      </c>
      <c r="B636" s="80" t="s">
        <v>2448</v>
      </c>
      <c r="C636" s="80">
        <v>2</v>
      </c>
      <c r="D636" s="104">
        <v>0.00040173028372176515</v>
      </c>
      <c r="E636" s="104">
        <v>3.13956426617585</v>
      </c>
      <c r="F636" s="80" t="s">
        <v>3370</v>
      </c>
      <c r="G636" s="80" t="b">
        <v>0</v>
      </c>
      <c r="H636" s="80" t="b">
        <v>0</v>
      </c>
      <c r="I636" s="80" t="b">
        <v>0</v>
      </c>
      <c r="J636" s="80" t="b">
        <v>1</v>
      </c>
      <c r="K636" s="80" t="b">
        <v>0</v>
      </c>
      <c r="L636" s="80" t="b">
        <v>0</v>
      </c>
    </row>
    <row r="637" spans="1:12" ht="15">
      <c r="A637" s="81" t="s">
        <v>2230</v>
      </c>
      <c r="B637" s="80" t="s">
        <v>2246</v>
      </c>
      <c r="C637" s="80">
        <v>2</v>
      </c>
      <c r="D637" s="104">
        <v>0.00040173028372176515</v>
      </c>
      <c r="E637" s="104">
        <v>1.2080216468317015</v>
      </c>
      <c r="F637" s="80" t="s">
        <v>3370</v>
      </c>
      <c r="G637" s="80" t="b">
        <v>0</v>
      </c>
      <c r="H637" s="80" t="b">
        <v>0</v>
      </c>
      <c r="I637" s="80" t="b">
        <v>0</v>
      </c>
      <c r="J637" s="80" t="b">
        <v>0</v>
      </c>
      <c r="K637" s="80" t="b">
        <v>0</v>
      </c>
      <c r="L637" s="80" t="b">
        <v>0</v>
      </c>
    </row>
    <row r="638" spans="1:12" ht="15">
      <c r="A638" s="81" t="s">
        <v>2910</v>
      </c>
      <c r="B638" s="80" t="s">
        <v>2237</v>
      </c>
      <c r="C638" s="80">
        <v>2</v>
      </c>
      <c r="D638" s="104">
        <v>0.00047366098758412623</v>
      </c>
      <c r="E638" s="104">
        <v>2.440594261839831</v>
      </c>
      <c r="F638" s="80" t="s">
        <v>3370</v>
      </c>
      <c r="G638" s="80" t="b">
        <v>0</v>
      </c>
      <c r="H638" s="80" t="b">
        <v>0</v>
      </c>
      <c r="I638" s="80" t="b">
        <v>0</v>
      </c>
      <c r="J638" s="80" t="b">
        <v>0</v>
      </c>
      <c r="K638" s="80" t="b">
        <v>0</v>
      </c>
      <c r="L638" s="80" t="b">
        <v>0</v>
      </c>
    </row>
    <row r="639" spans="1:12" ht="15">
      <c r="A639" s="81" t="s">
        <v>3175</v>
      </c>
      <c r="B639" s="80" t="s">
        <v>2394</v>
      </c>
      <c r="C639" s="80">
        <v>2</v>
      </c>
      <c r="D639" s="104">
        <v>0.00040173028372176515</v>
      </c>
      <c r="E639" s="104">
        <v>3.0726174765452368</v>
      </c>
      <c r="F639" s="80" t="s">
        <v>3370</v>
      </c>
      <c r="G639" s="80" t="b">
        <v>1</v>
      </c>
      <c r="H639" s="80" t="b">
        <v>0</v>
      </c>
      <c r="I639" s="80" t="b">
        <v>0</v>
      </c>
      <c r="J639" s="80" t="b">
        <v>0</v>
      </c>
      <c r="K639" s="80" t="b">
        <v>0</v>
      </c>
      <c r="L639" s="80" t="b">
        <v>0</v>
      </c>
    </row>
    <row r="640" spans="1:12" ht="15">
      <c r="A640" s="81" t="s">
        <v>2459</v>
      </c>
      <c r="B640" s="80" t="s">
        <v>2321</v>
      </c>
      <c r="C640" s="80">
        <v>2</v>
      </c>
      <c r="D640" s="104">
        <v>0.00040173028372176515</v>
      </c>
      <c r="E640" s="104">
        <v>2.361413015792206</v>
      </c>
      <c r="F640" s="80" t="s">
        <v>3370</v>
      </c>
      <c r="G640" s="80" t="b">
        <v>0</v>
      </c>
      <c r="H640" s="80" t="b">
        <v>0</v>
      </c>
      <c r="I640" s="80" t="b">
        <v>0</v>
      </c>
      <c r="J640" s="80" t="b">
        <v>0</v>
      </c>
      <c r="K640" s="80" t="b">
        <v>0</v>
      </c>
      <c r="L640" s="80" t="b">
        <v>0</v>
      </c>
    </row>
    <row r="641" spans="1:12" ht="15">
      <c r="A641" s="81" t="s">
        <v>2275</v>
      </c>
      <c r="B641" s="80" t="s">
        <v>2573</v>
      </c>
      <c r="C641" s="80">
        <v>2</v>
      </c>
      <c r="D641" s="104">
        <v>0.00040173028372176515</v>
      </c>
      <c r="E641" s="104">
        <v>2.4125655382395874</v>
      </c>
      <c r="F641" s="80" t="s">
        <v>3370</v>
      </c>
      <c r="G641" s="80" t="b">
        <v>0</v>
      </c>
      <c r="H641" s="80" t="b">
        <v>0</v>
      </c>
      <c r="I641" s="80" t="b">
        <v>0</v>
      </c>
      <c r="J641" s="80" t="b">
        <v>0</v>
      </c>
      <c r="K641" s="80" t="b">
        <v>0</v>
      </c>
      <c r="L641" s="80" t="b">
        <v>0</v>
      </c>
    </row>
    <row r="642" spans="1:12" ht="15">
      <c r="A642" s="81" t="s">
        <v>2258</v>
      </c>
      <c r="B642" s="80" t="s">
        <v>2672</v>
      </c>
      <c r="C642" s="80">
        <v>2</v>
      </c>
      <c r="D642" s="104">
        <v>0.00040173028372176515</v>
      </c>
      <c r="E642" s="104">
        <v>2.294466226161593</v>
      </c>
      <c r="F642" s="80" t="s">
        <v>3370</v>
      </c>
      <c r="G642" s="80" t="b">
        <v>0</v>
      </c>
      <c r="H642" s="80" t="b">
        <v>0</v>
      </c>
      <c r="I642" s="80" t="b">
        <v>0</v>
      </c>
      <c r="J642" s="80" t="b">
        <v>0</v>
      </c>
      <c r="K642" s="80" t="b">
        <v>0</v>
      </c>
      <c r="L642" s="80" t="b">
        <v>0</v>
      </c>
    </row>
    <row r="643" spans="1:12" ht="15">
      <c r="A643" s="81" t="s">
        <v>2224</v>
      </c>
      <c r="B643" s="80" t="s">
        <v>2348</v>
      </c>
      <c r="C643" s="80">
        <v>2</v>
      </c>
      <c r="D643" s="104">
        <v>0.00040173028372176515</v>
      </c>
      <c r="E643" s="104">
        <v>1.5197755078874557</v>
      </c>
      <c r="F643" s="80" t="s">
        <v>3370</v>
      </c>
      <c r="G643" s="80" t="b">
        <v>0</v>
      </c>
      <c r="H643" s="80" t="b">
        <v>0</v>
      </c>
      <c r="I643" s="80" t="b">
        <v>0</v>
      </c>
      <c r="J643" s="80" t="b">
        <v>0</v>
      </c>
      <c r="K643" s="80" t="b">
        <v>0</v>
      </c>
      <c r="L643" s="80" t="b">
        <v>0</v>
      </c>
    </row>
    <row r="644" spans="1:12" ht="15">
      <c r="A644" s="81" t="s">
        <v>2777</v>
      </c>
      <c r="B644" s="80" t="s">
        <v>2247</v>
      </c>
      <c r="C644" s="80">
        <v>2</v>
      </c>
      <c r="D644" s="104">
        <v>0.00040173028372176515</v>
      </c>
      <c r="E644" s="104">
        <v>2.3436842488317744</v>
      </c>
      <c r="F644" s="80" t="s">
        <v>3370</v>
      </c>
      <c r="G644" s="80" t="b">
        <v>0</v>
      </c>
      <c r="H644" s="80" t="b">
        <v>0</v>
      </c>
      <c r="I644" s="80" t="b">
        <v>0</v>
      </c>
      <c r="J644" s="80" t="b">
        <v>0</v>
      </c>
      <c r="K644" s="80" t="b">
        <v>0</v>
      </c>
      <c r="L644" s="80" t="b">
        <v>0</v>
      </c>
    </row>
    <row r="645" spans="1:12" ht="15">
      <c r="A645" s="81" t="s">
        <v>3021</v>
      </c>
      <c r="B645" s="80" t="s">
        <v>2263</v>
      </c>
      <c r="C645" s="80">
        <v>2</v>
      </c>
      <c r="D645" s="104">
        <v>0.00040173028372176515</v>
      </c>
      <c r="E645" s="104">
        <v>2.6389619156066644</v>
      </c>
      <c r="F645" s="80" t="s">
        <v>3370</v>
      </c>
      <c r="G645" s="80" t="b">
        <v>0</v>
      </c>
      <c r="H645" s="80" t="b">
        <v>0</v>
      </c>
      <c r="I645" s="80" t="b">
        <v>0</v>
      </c>
      <c r="J645" s="80" t="b">
        <v>0</v>
      </c>
      <c r="K645" s="80" t="b">
        <v>0</v>
      </c>
      <c r="L645" s="80" t="b">
        <v>0</v>
      </c>
    </row>
    <row r="646" spans="1:12" ht="15">
      <c r="A646" s="81" t="s">
        <v>2216</v>
      </c>
      <c r="B646" s="80" t="s">
        <v>2607</v>
      </c>
      <c r="C646" s="80">
        <v>2</v>
      </c>
      <c r="D646" s="104">
        <v>0.00040173028372176515</v>
      </c>
      <c r="E646" s="104">
        <v>1.7028716685117955</v>
      </c>
      <c r="F646" s="80" t="s">
        <v>3370</v>
      </c>
      <c r="G646" s="80" t="b">
        <v>0</v>
      </c>
      <c r="H646" s="80" t="b">
        <v>0</v>
      </c>
      <c r="I646" s="80" t="b">
        <v>0</v>
      </c>
      <c r="J646" s="80" t="b">
        <v>0</v>
      </c>
      <c r="K646" s="80" t="b">
        <v>0</v>
      </c>
      <c r="L646" s="80" t="b">
        <v>0</v>
      </c>
    </row>
    <row r="647" spans="1:12" ht="15">
      <c r="A647" s="81" t="s">
        <v>2225</v>
      </c>
      <c r="B647" s="80" t="s">
        <v>2348</v>
      </c>
      <c r="C647" s="80">
        <v>2</v>
      </c>
      <c r="D647" s="104">
        <v>0.00040173028372176515</v>
      </c>
      <c r="E647" s="104">
        <v>1.6624430114561874</v>
      </c>
      <c r="F647" s="80" t="s">
        <v>3370</v>
      </c>
      <c r="G647" s="80" t="b">
        <v>0</v>
      </c>
      <c r="H647" s="80" t="b">
        <v>0</v>
      </c>
      <c r="I647" s="80" t="b">
        <v>0</v>
      </c>
      <c r="J647" s="80" t="b">
        <v>0</v>
      </c>
      <c r="K647" s="80" t="b">
        <v>0</v>
      </c>
      <c r="L647" s="80" t="b">
        <v>0</v>
      </c>
    </row>
    <row r="648" spans="1:12" ht="15">
      <c r="A648" s="81" t="s">
        <v>2448</v>
      </c>
      <c r="B648" s="80" t="s">
        <v>2287</v>
      </c>
      <c r="C648" s="80">
        <v>2</v>
      </c>
      <c r="D648" s="104">
        <v>0.00040173028372176515</v>
      </c>
      <c r="E648" s="104">
        <v>2.2645030027841497</v>
      </c>
      <c r="F648" s="80" t="s">
        <v>3370</v>
      </c>
      <c r="G648" s="80" t="b">
        <v>1</v>
      </c>
      <c r="H648" s="80" t="b">
        <v>0</v>
      </c>
      <c r="I648" s="80" t="b">
        <v>0</v>
      </c>
      <c r="J648" s="80" t="b">
        <v>0</v>
      </c>
      <c r="K648" s="80" t="b">
        <v>0</v>
      </c>
      <c r="L648" s="80" t="b">
        <v>0</v>
      </c>
    </row>
    <row r="649" spans="1:12" ht="15">
      <c r="A649" s="81" t="s">
        <v>3030</v>
      </c>
      <c r="B649" s="80" t="s">
        <v>2935</v>
      </c>
      <c r="C649" s="80">
        <v>2</v>
      </c>
      <c r="D649" s="104">
        <v>0.00047366098758412623</v>
      </c>
      <c r="E649" s="104">
        <v>3.616685520895512</v>
      </c>
      <c r="F649" s="80" t="s">
        <v>3370</v>
      </c>
      <c r="G649" s="80" t="b">
        <v>0</v>
      </c>
      <c r="H649" s="80" t="b">
        <v>0</v>
      </c>
      <c r="I649" s="80" t="b">
        <v>0</v>
      </c>
      <c r="J649" s="80" t="b">
        <v>0</v>
      </c>
      <c r="K649" s="80" t="b">
        <v>0</v>
      </c>
      <c r="L649" s="80" t="b">
        <v>0</v>
      </c>
    </row>
    <row r="650" spans="1:12" ht="15">
      <c r="A650" s="81" t="s">
        <v>2298</v>
      </c>
      <c r="B650" s="80" t="s">
        <v>3071</v>
      </c>
      <c r="C650" s="80">
        <v>2</v>
      </c>
      <c r="D650" s="104">
        <v>0.00040173028372176515</v>
      </c>
      <c r="E650" s="104">
        <v>2.7715874808812555</v>
      </c>
      <c r="F650" s="80" t="s">
        <v>3370</v>
      </c>
      <c r="G650" s="80" t="b">
        <v>0</v>
      </c>
      <c r="H650" s="80" t="b">
        <v>0</v>
      </c>
      <c r="I650" s="80" t="b">
        <v>0</v>
      </c>
      <c r="J650" s="80" t="b">
        <v>0</v>
      </c>
      <c r="K650" s="80" t="b">
        <v>0</v>
      </c>
      <c r="L650" s="80" t="b">
        <v>0</v>
      </c>
    </row>
    <row r="651" spans="1:12" ht="15">
      <c r="A651" s="81" t="s">
        <v>2259</v>
      </c>
      <c r="B651" s="80" t="s">
        <v>3053</v>
      </c>
      <c r="C651" s="80">
        <v>2</v>
      </c>
      <c r="D651" s="104">
        <v>0.00047366098758412623</v>
      </c>
      <c r="E651" s="104">
        <v>2.616685520895512</v>
      </c>
      <c r="F651" s="80" t="s">
        <v>3370</v>
      </c>
      <c r="G651" s="80" t="b">
        <v>0</v>
      </c>
      <c r="H651" s="80" t="b">
        <v>0</v>
      </c>
      <c r="I651" s="80" t="b">
        <v>0</v>
      </c>
      <c r="J651" s="80" t="b">
        <v>0</v>
      </c>
      <c r="K651" s="80" t="b">
        <v>0</v>
      </c>
      <c r="L651" s="80" t="b">
        <v>0</v>
      </c>
    </row>
    <row r="652" spans="1:12" ht="15">
      <c r="A652" s="81" t="s">
        <v>3221</v>
      </c>
      <c r="B652" s="80" t="s">
        <v>3356</v>
      </c>
      <c r="C652" s="80">
        <v>2</v>
      </c>
      <c r="D652" s="104">
        <v>0.00047366098758412623</v>
      </c>
      <c r="E652" s="104">
        <v>3.616685520895512</v>
      </c>
      <c r="F652" s="80" t="s">
        <v>3370</v>
      </c>
      <c r="G652" s="80" t="b">
        <v>0</v>
      </c>
      <c r="H652" s="80" t="b">
        <v>0</v>
      </c>
      <c r="I652" s="80" t="b">
        <v>0</v>
      </c>
      <c r="J652" s="80" t="b">
        <v>0</v>
      </c>
      <c r="K652" s="80" t="b">
        <v>0</v>
      </c>
      <c r="L652" s="80" t="b">
        <v>0</v>
      </c>
    </row>
    <row r="653" spans="1:12" ht="15">
      <c r="A653" s="81" t="s">
        <v>2252</v>
      </c>
      <c r="B653" s="80" t="s">
        <v>2276</v>
      </c>
      <c r="C653" s="80">
        <v>2</v>
      </c>
      <c r="D653" s="104">
        <v>0.00040173028372176515</v>
      </c>
      <c r="E653" s="104">
        <v>1.7135955339035687</v>
      </c>
      <c r="F653" s="80" t="s">
        <v>3370</v>
      </c>
      <c r="G653" s="80" t="b">
        <v>0</v>
      </c>
      <c r="H653" s="80" t="b">
        <v>0</v>
      </c>
      <c r="I653" s="80" t="b">
        <v>0</v>
      </c>
      <c r="J653" s="80" t="b">
        <v>0</v>
      </c>
      <c r="K653" s="80" t="b">
        <v>0</v>
      </c>
      <c r="L653" s="80" t="b">
        <v>0</v>
      </c>
    </row>
    <row r="654" spans="1:12" ht="15">
      <c r="A654" s="81" t="s">
        <v>2810</v>
      </c>
      <c r="B654" s="80" t="s">
        <v>2216</v>
      </c>
      <c r="C654" s="80">
        <v>2</v>
      </c>
      <c r="D654" s="104">
        <v>0.00040173028372176515</v>
      </c>
      <c r="E654" s="104">
        <v>1.8278104051200954</v>
      </c>
      <c r="F654" s="80" t="s">
        <v>3370</v>
      </c>
      <c r="G654" s="80" t="b">
        <v>0</v>
      </c>
      <c r="H654" s="80" t="b">
        <v>0</v>
      </c>
      <c r="I654" s="80" t="b">
        <v>0</v>
      </c>
      <c r="J654" s="80" t="b">
        <v>0</v>
      </c>
      <c r="K654" s="80" t="b">
        <v>0</v>
      </c>
      <c r="L654" s="80" t="b">
        <v>0</v>
      </c>
    </row>
    <row r="655" spans="1:12" ht="15">
      <c r="A655" s="81" t="s">
        <v>2244</v>
      </c>
      <c r="B655" s="80" t="s">
        <v>2862</v>
      </c>
      <c r="C655" s="80">
        <v>2</v>
      </c>
      <c r="D655" s="104">
        <v>0.00047366098758412623</v>
      </c>
      <c r="E655" s="104">
        <v>2.294466226161593</v>
      </c>
      <c r="F655" s="80" t="s">
        <v>3370</v>
      </c>
      <c r="G655" s="80" t="b">
        <v>0</v>
      </c>
      <c r="H655" s="80" t="b">
        <v>0</v>
      </c>
      <c r="I655" s="80" t="b">
        <v>0</v>
      </c>
      <c r="J655" s="80" t="b">
        <v>0</v>
      </c>
      <c r="K655" s="80" t="b">
        <v>0</v>
      </c>
      <c r="L655" s="80" t="b">
        <v>0</v>
      </c>
    </row>
    <row r="656" spans="1:12" ht="15">
      <c r="A656" s="81" t="s">
        <v>2290</v>
      </c>
      <c r="B656" s="80" t="s">
        <v>2271</v>
      </c>
      <c r="C656" s="80">
        <v>2</v>
      </c>
      <c r="D656" s="104">
        <v>0.00040173028372176515</v>
      </c>
      <c r="E656" s="104">
        <v>1.8122053317895195</v>
      </c>
      <c r="F656" s="80" t="s">
        <v>3370</v>
      </c>
      <c r="G656" s="80" t="b">
        <v>0</v>
      </c>
      <c r="H656" s="80" t="b">
        <v>0</v>
      </c>
      <c r="I656" s="80" t="b">
        <v>0</v>
      </c>
      <c r="J656" s="80" t="b">
        <v>0</v>
      </c>
      <c r="K656" s="80" t="b">
        <v>0</v>
      </c>
      <c r="L656" s="80" t="b">
        <v>0</v>
      </c>
    </row>
    <row r="657" spans="1:12" ht="15">
      <c r="A657" s="81" t="s">
        <v>2309</v>
      </c>
      <c r="B657" s="80" t="s">
        <v>2556</v>
      </c>
      <c r="C657" s="80">
        <v>2</v>
      </c>
      <c r="D657" s="104">
        <v>0.00040173028372176515</v>
      </c>
      <c r="E657" s="104">
        <v>2.4058321555806192</v>
      </c>
      <c r="F657" s="80" t="s">
        <v>3370</v>
      </c>
      <c r="G657" s="80" t="b">
        <v>0</v>
      </c>
      <c r="H657" s="80" t="b">
        <v>0</v>
      </c>
      <c r="I657" s="80" t="b">
        <v>0</v>
      </c>
      <c r="J657" s="80" t="b">
        <v>0</v>
      </c>
      <c r="K657" s="80" t="b">
        <v>0</v>
      </c>
      <c r="L657" s="80" t="b">
        <v>0</v>
      </c>
    </row>
    <row r="658" spans="1:12" ht="15">
      <c r="A658" s="81" t="s">
        <v>2323</v>
      </c>
      <c r="B658" s="80" t="s">
        <v>2330</v>
      </c>
      <c r="C658" s="80">
        <v>2</v>
      </c>
      <c r="D658" s="104">
        <v>0.00040173028372176515</v>
      </c>
      <c r="E658" s="104">
        <v>2.098171581017625</v>
      </c>
      <c r="F658" s="80" t="s">
        <v>3370</v>
      </c>
      <c r="G658" s="80" t="b">
        <v>0</v>
      </c>
      <c r="H658" s="80" t="b">
        <v>0</v>
      </c>
      <c r="I658" s="80" t="b">
        <v>0</v>
      </c>
      <c r="J658" s="80" t="b">
        <v>0</v>
      </c>
      <c r="K658" s="80" t="b">
        <v>0</v>
      </c>
      <c r="L658" s="80" t="b">
        <v>0</v>
      </c>
    </row>
    <row r="659" spans="1:12" ht="15">
      <c r="A659" s="81" t="s">
        <v>2731</v>
      </c>
      <c r="B659" s="80" t="s">
        <v>2452</v>
      </c>
      <c r="C659" s="80">
        <v>2</v>
      </c>
      <c r="D659" s="104">
        <v>0.00040173028372176515</v>
      </c>
      <c r="E659" s="104">
        <v>2.9634730071201685</v>
      </c>
      <c r="F659" s="80" t="s">
        <v>3370</v>
      </c>
      <c r="G659" s="80" t="b">
        <v>0</v>
      </c>
      <c r="H659" s="80" t="b">
        <v>0</v>
      </c>
      <c r="I659" s="80" t="b">
        <v>0</v>
      </c>
      <c r="J659" s="80" t="b">
        <v>0</v>
      </c>
      <c r="K659" s="80" t="b">
        <v>0</v>
      </c>
      <c r="L659" s="80" t="b">
        <v>0</v>
      </c>
    </row>
    <row r="660" spans="1:12" ht="15">
      <c r="A660" s="81" t="s">
        <v>3268</v>
      </c>
      <c r="B660" s="80" t="s">
        <v>3183</v>
      </c>
      <c r="C660" s="80">
        <v>2</v>
      </c>
      <c r="D660" s="104">
        <v>0.00040173028372176515</v>
      </c>
      <c r="E660" s="104">
        <v>3.616685520895512</v>
      </c>
      <c r="F660" s="80" t="s">
        <v>3370</v>
      </c>
      <c r="G660" s="80" t="b">
        <v>0</v>
      </c>
      <c r="H660" s="80" t="b">
        <v>0</v>
      </c>
      <c r="I660" s="80" t="b">
        <v>0</v>
      </c>
      <c r="J660" s="80" t="b">
        <v>0</v>
      </c>
      <c r="K660" s="80" t="b">
        <v>0</v>
      </c>
      <c r="L660" s="80" t="b">
        <v>0</v>
      </c>
    </row>
    <row r="661" spans="1:12" ht="15">
      <c r="A661" s="81" t="s">
        <v>2556</v>
      </c>
      <c r="B661" s="80" t="s">
        <v>2216</v>
      </c>
      <c r="C661" s="80">
        <v>2</v>
      </c>
      <c r="D661" s="104">
        <v>0.00040173028372176515</v>
      </c>
      <c r="E661" s="104">
        <v>1.6059616555037393</v>
      </c>
      <c r="F661" s="80" t="s">
        <v>3370</v>
      </c>
      <c r="G661" s="80" t="b">
        <v>0</v>
      </c>
      <c r="H661" s="80" t="b">
        <v>0</v>
      </c>
      <c r="I661" s="80" t="b">
        <v>0</v>
      </c>
      <c r="J661" s="80" t="b">
        <v>0</v>
      </c>
      <c r="K661" s="80" t="b">
        <v>0</v>
      </c>
      <c r="L661" s="80" t="b">
        <v>0</v>
      </c>
    </row>
    <row r="662" spans="1:12" ht="15">
      <c r="A662" s="81" t="s">
        <v>2219</v>
      </c>
      <c r="B662" s="80" t="s">
        <v>2251</v>
      </c>
      <c r="C662" s="80">
        <v>2</v>
      </c>
      <c r="D662" s="104">
        <v>0.00047366098758412623</v>
      </c>
      <c r="E662" s="104">
        <v>1.105470819759124</v>
      </c>
      <c r="F662" s="80" t="s">
        <v>3370</v>
      </c>
      <c r="G662" s="80" t="b">
        <v>0</v>
      </c>
      <c r="H662" s="80" t="b">
        <v>0</v>
      </c>
      <c r="I662" s="80" t="b">
        <v>0</v>
      </c>
      <c r="J662" s="80" t="b">
        <v>0</v>
      </c>
      <c r="K662" s="80" t="b">
        <v>0</v>
      </c>
      <c r="L662" s="80" t="b">
        <v>0</v>
      </c>
    </row>
    <row r="663" spans="1:12" ht="15">
      <c r="A663" s="81" t="s">
        <v>2214</v>
      </c>
      <c r="B663" s="80" t="s">
        <v>2560</v>
      </c>
      <c r="C663" s="80">
        <v>2</v>
      </c>
      <c r="D663" s="104">
        <v>0.00040173028372176515</v>
      </c>
      <c r="E663" s="104">
        <v>1.4628706565509833</v>
      </c>
      <c r="F663" s="80" t="s">
        <v>3370</v>
      </c>
      <c r="G663" s="80" t="b">
        <v>0</v>
      </c>
      <c r="H663" s="80" t="b">
        <v>0</v>
      </c>
      <c r="I663" s="80" t="b">
        <v>0</v>
      </c>
      <c r="J663" s="80" t="b">
        <v>0</v>
      </c>
      <c r="K663" s="80" t="b">
        <v>0</v>
      </c>
      <c r="L663" s="80" t="b">
        <v>0</v>
      </c>
    </row>
    <row r="664" spans="1:12" ht="15">
      <c r="A664" s="81" t="s">
        <v>2941</v>
      </c>
      <c r="B664" s="80" t="s">
        <v>2339</v>
      </c>
      <c r="C664" s="80">
        <v>2</v>
      </c>
      <c r="D664" s="104">
        <v>0.00047366098758412623</v>
      </c>
      <c r="E664" s="104">
        <v>2.8763228314012683</v>
      </c>
      <c r="F664" s="80" t="s">
        <v>3370</v>
      </c>
      <c r="G664" s="80" t="b">
        <v>0</v>
      </c>
      <c r="H664" s="80" t="b">
        <v>0</v>
      </c>
      <c r="I664" s="80" t="b">
        <v>0</v>
      </c>
      <c r="J664" s="80" t="b">
        <v>0</v>
      </c>
      <c r="K664" s="80" t="b">
        <v>0</v>
      </c>
      <c r="L664" s="80" t="b">
        <v>0</v>
      </c>
    </row>
    <row r="665" spans="1:12" ht="15">
      <c r="A665" s="81" t="s">
        <v>2735</v>
      </c>
      <c r="B665" s="80" t="s">
        <v>2855</v>
      </c>
      <c r="C665" s="80">
        <v>2</v>
      </c>
      <c r="D665" s="104">
        <v>0.00047366098758412623</v>
      </c>
      <c r="E665" s="104">
        <v>3.2645030027841497</v>
      </c>
      <c r="F665" s="80" t="s">
        <v>3370</v>
      </c>
      <c r="G665" s="80" t="b">
        <v>0</v>
      </c>
      <c r="H665" s="80" t="b">
        <v>0</v>
      </c>
      <c r="I665" s="80" t="b">
        <v>0</v>
      </c>
      <c r="J665" s="80" t="b">
        <v>0</v>
      </c>
      <c r="K665" s="80" t="b">
        <v>0</v>
      </c>
      <c r="L665" s="80" t="b">
        <v>0</v>
      </c>
    </row>
    <row r="666" spans="1:12" ht="15">
      <c r="A666" s="81" t="s">
        <v>3287</v>
      </c>
      <c r="B666" s="80" t="s">
        <v>3089</v>
      </c>
      <c r="C666" s="80">
        <v>2</v>
      </c>
      <c r="D666" s="104">
        <v>0.00040173028372176515</v>
      </c>
      <c r="E666" s="104">
        <v>3.616685520895512</v>
      </c>
      <c r="F666" s="80" t="s">
        <v>3370</v>
      </c>
      <c r="G666" s="80" t="b">
        <v>0</v>
      </c>
      <c r="H666" s="80" t="b">
        <v>0</v>
      </c>
      <c r="I666" s="80" t="b">
        <v>0</v>
      </c>
      <c r="J666" s="80" t="b">
        <v>0</v>
      </c>
      <c r="K666" s="80" t="b">
        <v>0</v>
      </c>
      <c r="L666" s="80" t="b">
        <v>0</v>
      </c>
    </row>
    <row r="667" spans="1:12" ht="15">
      <c r="A667" s="81" t="s">
        <v>2371</v>
      </c>
      <c r="B667" s="80" t="s">
        <v>3287</v>
      </c>
      <c r="C667" s="80">
        <v>2</v>
      </c>
      <c r="D667" s="104">
        <v>0.00040173028372176515</v>
      </c>
      <c r="E667" s="104">
        <v>3.01462552956755</v>
      </c>
      <c r="F667" s="80" t="s">
        <v>3370</v>
      </c>
      <c r="G667" s="80" t="b">
        <v>0</v>
      </c>
      <c r="H667" s="80" t="b">
        <v>0</v>
      </c>
      <c r="I667" s="80" t="b">
        <v>0</v>
      </c>
      <c r="J667" s="80" t="b">
        <v>0</v>
      </c>
      <c r="K667" s="80" t="b">
        <v>0</v>
      </c>
      <c r="L667" s="80" t="b">
        <v>0</v>
      </c>
    </row>
    <row r="668" spans="1:12" ht="15">
      <c r="A668" s="81" t="s">
        <v>2359</v>
      </c>
      <c r="B668" s="80" t="s">
        <v>2235</v>
      </c>
      <c r="C668" s="80">
        <v>2</v>
      </c>
      <c r="D668" s="104">
        <v>0.00040173028372176515</v>
      </c>
      <c r="E668" s="104">
        <v>1.759353024464244</v>
      </c>
      <c r="F668" s="80" t="s">
        <v>3370</v>
      </c>
      <c r="G668" s="80" t="b">
        <v>0</v>
      </c>
      <c r="H668" s="80" t="b">
        <v>0</v>
      </c>
      <c r="I668" s="80" t="b">
        <v>0</v>
      </c>
      <c r="J668" s="80" t="b">
        <v>0</v>
      </c>
      <c r="K668" s="80" t="b">
        <v>0</v>
      </c>
      <c r="L668" s="80" t="b">
        <v>0</v>
      </c>
    </row>
    <row r="669" spans="1:12" ht="15">
      <c r="A669" s="81" t="s">
        <v>3219</v>
      </c>
      <c r="B669" s="80" t="s">
        <v>2371</v>
      </c>
      <c r="C669" s="80">
        <v>2</v>
      </c>
      <c r="D669" s="104">
        <v>0.00040173028372176515</v>
      </c>
      <c r="E669" s="104">
        <v>3.01462552956755</v>
      </c>
      <c r="F669" s="80" t="s">
        <v>3370</v>
      </c>
      <c r="G669" s="80" t="b">
        <v>0</v>
      </c>
      <c r="H669" s="80" t="b">
        <v>0</v>
      </c>
      <c r="I669" s="80" t="b">
        <v>0</v>
      </c>
      <c r="J669" s="80" t="b">
        <v>0</v>
      </c>
      <c r="K669" s="80" t="b">
        <v>0</v>
      </c>
      <c r="L669" s="80" t="b">
        <v>0</v>
      </c>
    </row>
    <row r="670" spans="1:12" ht="15">
      <c r="A670" s="81" t="s">
        <v>2480</v>
      </c>
      <c r="B670" s="80" t="s">
        <v>2213</v>
      </c>
      <c r="C670" s="80">
        <v>2</v>
      </c>
      <c r="D670" s="104">
        <v>0.00040173028372176515</v>
      </c>
      <c r="E670" s="104">
        <v>1.4628706565509833</v>
      </c>
      <c r="F670" s="80" t="s">
        <v>3370</v>
      </c>
      <c r="G670" s="80" t="b">
        <v>0</v>
      </c>
      <c r="H670" s="80" t="b">
        <v>0</v>
      </c>
      <c r="I670" s="80" t="b">
        <v>0</v>
      </c>
      <c r="J670" s="80" t="b">
        <v>0</v>
      </c>
      <c r="K670" s="80" t="b">
        <v>0</v>
      </c>
      <c r="L670" s="80" t="b">
        <v>0</v>
      </c>
    </row>
    <row r="671" spans="1:12" ht="15">
      <c r="A671" s="81" t="s">
        <v>2636</v>
      </c>
      <c r="B671" s="80" t="s">
        <v>3353</v>
      </c>
      <c r="C671" s="80">
        <v>2</v>
      </c>
      <c r="D671" s="104">
        <v>0.00047366098758412623</v>
      </c>
      <c r="E671" s="104">
        <v>3.315655525231531</v>
      </c>
      <c r="F671" s="80" t="s">
        <v>3370</v>
      </c>
      <c r="G671" s="80" t="b">
        <v>0</v>
      </c>
      <c r="H671" s="80" t="b">
        <v>0</v>
      </c>
      <c r="I671" s="80" t="b">
        <v>0</v>
      </c>
      <c r="J671" s="80" t="b">
        <v>0</v>
      </c>
      <c r="K671" s="80" t="b">
        <v>0</v>
      </c>
      <c r="L671" s="80" t="b">
        <v>0</v>
      </c>
    </row>
    <row r="672" spans="1:12" ht="15">
      <c r="A672" s="81" t="s">
        <v>2275</v>
      </c>
      <c r="B672" s="80" t="s">
        <v>2213</v>
      </c>
      <c r="C672" s="80">
        <v>2</v>
      </c>
      <c r="D672" s="104">
        <v>0.00040173028372176515</v>
      </c>
      <c r="E672" s="104">
        <v>0.9577206782310772</v>
      </c>
      <c r="F672" s="80" t="s">
        <v>3370</v>
      </c>
      <c r="G672" s="80" t="b">
        <v>0</v>
      </c>
      <c r="H672" s="80" t="b">
        <v>0</v>
      </c>
      <c r="I672" s="80" t="b">
        <v>0</v>
      </c>
      <c r="J672" s="80" t="b">
        <v>0</v>
      </c>
      <c r="K672" s="80" t="b">
        <v>0</v>
      </c>
      <c r="L672" s="80" t="b">
        <v>0</v>
      </c>
    </row>
    <row r="673" spans="1:12" ht="15">
      <c r="A673" s="81" t="s">
        <v>3240</v>
      </c>
      <c r="B673" s="80" t="s">
        <v>3286</v>
      </c>
      <c r="C673" s="80">
        <v>2</v>
      </c>
      <c r="D673" s="104">
        <v>0.00047366098758412623</v>
      </c>
      <c r="E673" s="104">
        <v>3.616685520895512</v>
      </c>
      <c r="F673" s="80" t="s">
        <v>3370</v>
      </c>
      <c r="G673" s="80" t="b">
        <v>0</v>
      </c>
      <c r="H673" s="80" t="b">
        <v>0</v>
      </c>
      <c r="I673" s="80" t="b">
        <v>0</v>
      </c>
      <c r="J673" s="80" t="b">
        <v>0</v>
      </c>
      <c r="K673" s="80" t="b">
        <v>0</v>
      </c>
      <c r="L673" s="80" t="b">
        <v>0</v>
      </c>
    </row>
    <row r="674" spans="1:12" ht="15">
      <c r="A674" s="81" t="s">
        <v>2221</v>
      </c>
      <c r="B674" s="80" t="s">
        <v>3342</v>
      </c>
      <c r="C674" s="80">
        <v>2</v>
      </c>
      <c r="D674" s="104">
        <v>0.00040173028372176515</v>
      </c>
      <c r="E674" s="104">
        <v>2.1934396469587045</v>
      </c>
      <c r="F674" s="80" t="s">
        <v>3370</v>
      </c>
      <c r="G674" s="80" t="b">
        <v>0</v>
      </c>
      <c r="H674" s="80" t="b">
        <v>0</v>
      </c>
      <c r="I674" s="80" t="b">
        <v>0</v>
      </c>
      <c r="J674" s="80" t="b">
        <v>0</v>
      </c>
      <c r="K674" s="80" t="b">
        <v>0</v>
      </c>
      <c r="L674" s="80" t="b">
        <v>0</v>
      </c>
    </row>
    <row r="675" spans="1:12" ht="15">
      <c r="A675" s="81" t="s">
        <v>2235</v>
      </c>
      <c r="B675" s="80" t="s">
        <v>2886</v>
      </c>
      <c r="C675" s="80">
        <v>2</v>
      </c>
      <c r="D675" s="104">
        <v>0.00040173028372176515</v>
      </c>
      <c r="E675" s="104">
        <v>2.4125655382395874</v>
      </c>
      <c r="F675" s="80" t="s">
        <v>3370</v>
      </c>
      <c r="G675" s="80" t="b">
        <v>0</v>
      </c>
      <c r="H675" s="80" t="b">
        <v>0</v>
      </c>
      <c r="I675" s="80" t="b">
        <v>0</v>
      </c>
      <c r="J675" s="80" t="b">
        <v>1</v>
      </c>
      <c r="K675" s="80" t="b">
        <v>0</v>
      </c>
      <c r="L675" s="80" t="b">
        <v>0</v>
      </c>
    </row>
    <row r="676" spans="1:12" ht="15">
      <c r="A676" s="81" t="s">
        <v>2971</v>
      </c>
      <c r="B676" s="80" t="s">
        <v>3067</v>
      </c>
      <c r="C676" s="80">
        <v>2</v>
      </c>
      <c r="D676" s="104">
        <v>0.00040173028372176515</v>
      </c>
      <c r="E676" s="104">
        <v>3.616685520895512</v>
      </c>
      <c r="F676" s="80" t="s">
        <v>3370</v>
      </c>
      <c r="G676" s="80" t="b">
        <v>0</v>
      </c>
      <c r="H676" s="80" t="b">
        <v>0</v>
      </c>
      <c r="I676" s="80" t="b">
        <v>0</v>
      </c>
      <c r="J676" s="80" t="b">
        <v>0</v>
      </c>
      <c r="K676" s="80" t="b">
        <v>0</v>
      </c>
      <c r="L676" s="80" t="b">
        <v>0</v>
      </c>
    </row>
    <row r="677" spans="1:12" ht="15">
      <c r="A677" s="81" t="s">
        <v>2244</v>
      </c>
      <c r="B677" s="80" t="s">
        <v>3056</v>
      </c>
      <c r="C677" s="80">
        <v>2</v>
      </c>
      <c r="D677" s="104">
        <v>0.00047366098758412623</v>
      </c>
      <c r="E677" s="104">
        <v>2.4705574852172743</v>
      </c>
      <c r="F677" s="80" t="s">
        <v>3370</v>
      </c>
      <c r="G677" s="80" t="b">
        <v>0</v>
      </c>
      <c r="H677" s="80" t="b">
        <v>0</v>
      </c>
      <c r="I677" s="80" t="b">
        <v>0</v>
      </c>
      <c r="J677" s="80" t="b">
        <v>0</v>
      </c>
      <c r="K677" s="80" t="b">
        <v>0</v>
      </c>
      <c r="L677" s="80" t="b">
        <v>0</v>
      </c>
    </row>
    <row r="678" spans="1:12" ht="15">
      <c r="A678" s="81" t="s">
        <v>2279</v>
      </c>
      <c r="B678" s="80" t="s">
        <v>2228</v>
      </c>
      <c r="C678" s="80">
        <v>2</v>
      </c>
      <c r="D678" s="104">
        <v>0.00040173028372176515</v>
      </c>
      <c r="E678" s="104">
        <v>1.4348419329507396</v>
      </c>
      <c r="F678" s="80" t="s">
        <v>3370</v>
      </c>
      <c r="G678" s="80" t="b">
        <v>0</v>
      </c>
      <c r="H678" s="80" t="b">
        <v>0</v>
      </c>
      <c r="I678" s="80" t="b">
        <v>0</v>
      </c>
      <c r="J678" s="80" t="b">
        <v>0</v>
      </c>
      <c r="K678" s="80" t="b">
        <v>0</v>
      </c>
      <c r="L678" s="80" t="b">
        <v>0</v>
      </c>
    </row>
    <row r="679" spans="1:12" ht="15">
      <c r="A679" s="81" t="s">
        <v>2439</v>
      </c>
      <c r="B679" s="80" t="s">
        <v>2437</v>
      </c>
      <c r="C679" s="80">
        <v>2</v>
      </c>
      <c r="D679" s="104">
        <v>0.00040173028372176515</v>
      </c>
      <c r="E679" s="104">
        <v>2.6624430114561872</v>
      </c>
      <c r="F679" s="80" t="s">
        <v>3370</v>
      </c>
      <c r="G679" s="80" t="b">
        <v>0</v>
      </c>
      <c r="H679" s="80" t="b">
        <v>0</v>
      </c>
      <c r="I679" s="80" t="b">
        <v>0</v>
      </c>
      <c r="J679" s="80" t="b">
        <v>0</v>
      </c>
      <c r="K679" s="80" t="b">
        <v>0</v>
      </c>
      <c r="L679" s="80" t="b">
        <v>0</v>
      </c>
    </row>
    <row r="680" spans="1:12" ht="15">
      <c r="A680" s="81" t="s">
        <v>3261</v>
      </c>
      <c r="B680" s="80" t="s">
        <v>3006</v>
      </c>
      <c r="C680" s="80">
        <v>2</v>
      </c>
      <c r="D680" s="104">
        <v>0.00040173028372176515</v>
      </c>
      <c r="E680" s="104">
        <v>3.616685520895512</v>
      </c>
      <c r="F680" s="80" t="s">
        <v>3370</v>
      </c>
      <c r="G680" s="80" t="b">
        <v>0</v>
      </c>
      <c r="H680" s="80" t="b">
        <v>0</v>
      </c>
      <c r="I680" s="80" t="b">
        <v>0</v>
      </c>
      <c r="J680" s="80" t="b">
        <v>0</v>
      </c>
      <c r="K680" s="80" t="b">
        <v>0</v>
      </c>
      <c r="L680" s="80" t="b">
        <v>0</v>
      </c>
    </row>
    <row r="681" spans="1:12" ht="15">
      <c r="A681" s="81" t="s">
        <v>3343</v>
      </c>
      <c r="B681" s="80" t="s">
        <v>2220</v>
      </c>
      <c r="C681" s="80">
        <v>2</v>
      </c>
      <c r="D681" s="104">
        <v>0.00040173028372176515</v>
      </c>
      <c r="E681" s="104">
        <v>2.169527489553293</v>
      </c>
      <c r="F681" s="80" t="s">
        <v>3370</v>
      </c>
      <c r="G681" s="80" t="b">
        <v>0</v>
      </c>
      <c r="H681" s="80" t="b">
        <v>0</v>
      </c>
      <c r="I681" s="80" t="b">
        <v>0</v>
      </c>
      <c r="J681" s="80" t="b">
        <v>0</v>
      </c>
      <c r="K681" s="80" t="b">
        <v>0</v>
      </c>
      <c r="L681" s="80" t="b">
        <v>0</v>
      </c>
    </row>
    <row r="682" spans="1:12" ht="15">
      <c r="A682" s="81" t="s">
        <v>2544</v>
      </c>
      <c r="B682" s="80" t="s">
        <v>2229</v>
      </c>
      <c r="C682" s="80">
        <v>2</v>
      </c>
      <c r="D682" s="104">
        <v>0.00040173028372176515</v>
      </c>
      <c r="E682" s="104">
        <v>1.9069916511677203</v>
      </c>
      <c r="F682" s="80" t="s">
        <v>3370</v>
      </c>
      <c r="G682" s="80" t="b">
        <v>0</v>
      </c>
      <c r="H682" s="80" t="b">
        <v>1</v>
      </c>
      <c r="I682" s="80" t="b">
        <v>0</v>
      </c>
      <c r="J682" s="80" t="b">
        <v>0</v>
      </c>
      <c r="K682" s="80" t="b">
        <v>0</v>
      </c>
      <c r="L682" s="80" t="b">
        <v>0</v>
      </c>
    </row>
    <row r="683" spans="1:12" ht="15">
      <c r="A683" s="81" t="s">
        <v>3198</v>
      </c>
      <c r="B683" s="80" t="s">
        <v>2793</v>
      </c>
      <c r="C683" s="80">
        <v>2</v>
      </c>
      <c r="D683" s="104">
        <v>0.00040173028372176515</v>
      </c>
      <c r="E683" s="104">
        <v>3.616685520895512</v>
      </c>
      <c r="F683" s="80" t="s">
        <v>3370</v>
      </c>
      <c r="G683" s="80" t="b">
        <v>0</v>
      </c>
      <c r="H683" s="80" t="b">
        <v>0</v>
      </c>
      <c r="I683" s="80" t="b">
        <v>0</v>
      </c>
      <c r="J683" s="80" t="b">
        <v>0</v>
      </c>
      <c r="K683" s="80" t="b">
        <v>0</v>
      </c>
      <c r="L683" s="80" t="b">
        <v>0</v>
      </c>
    </row>
    <row r="684" spans="1:12" ht="15">
      <c r="A684" s="81" t="s">
        <v>2740</v>
      </c>
      <c r="B684" s="80" t="s">
        <v>3066</v>
      </c>
      <c r="C684" s="80">
        <v>2</v>
      </c>
      <c r="D684" s="104">
        <v>0.00040173028372176515</v>
      </c>
      <c r="E684" s="104">
        <v>3.440594261839831</v>
      </c>
      <c r="F684" s="80" t="s">
        <v>3370</v>
      </c>
      <c r="G684" s="80" t="b">
        <v>0</v>
      </c>
      <c r="H684" s="80" t="b">
        <v>0</v>
      </c>
      <c r="I684" s="80" t="b">
        <v>0</v>
      </c>
      <c r="J684" s="80" t="b">
        <v>0</v>
      </c>
      <c r="K684" s="80" t="b">
        <v>0</v>
      </c>
      <c r="L684" s="80" t="b">
        <v>0</v>
      </c>
    </row>
    <row r="685" spans="1:12" ht="15">
      <c r="A685" s="81" t="s">
        <v>2233</v>
      </c>
      <c r="B685" s="80" t="s">
        <v>2294</v>
      </c>
      <c r="C685" s="80">
        <v>2</v>
      </c>
      <c r="D685" s="104">
        <v>0.00040173028372176515</v>
      </c>
      <c r="E685" s="104">
        <v>1.5954962218255742</v>
      </c>
      <c r="F685" s="80" t="s">
        <v>3370</v>
      </c>
      <c r="G685" s="80" t="b">
        <v>0</v>
      </c>
      <c r="H685" s="80" t="b">
        <v>0</v>
      </c>
      <c r="I685" s="80" t="b">
        <v>0</v>
      </c>
      <c r="J685" s="80" t="b">
        <v>0</v>
      </c>
      <c r="K685" s="80" t="b">
        <v>0</v>
      </c>
      <c r="L685" s="80" t="b">
        <v>0</v>
      </c>
    </row>
    <row r="686" spans="1:12" ht="15">
      <c r="A686" s="81" t="s">
        <v>3099</v>
      </c>
      <c r="B686" s="80" t="s">
        <v>2397</v>
      </c>
      <c r="C686" s="80">
        <v>2</v>
      </c>
      <c r="D686" s="104">
        <v>0.00040173028372176515</v>
      </c>
      <c r="E686" s="104">
        <v>3.0726174765452368</v>
      </c>
      <c r="F686" s="80" t="s">
        <v>3370</v>
      </c>
      <c r="G686" s="80" t="b">
        <v>0</v>
      </c>
      <c r="H686" s="80" t="b">
        <v>0</v>
      </c>
      <c r="I686" s="80" t="b">
        <v>0</v>
      </c>
      <c r="J686" s="80" t="b">
        <v>0</v>
      </c>
      <c r="K686" s="80" t="b">
        <v>0</v>
      </c>
      <c r="L686" s="80" t="b">
        <v>0</v>
      </c>
    </row>
    <row r="687" spans="1:12" ht="15">
      <c r="A687" s="81" t="s">
        <v>2713</v>
      </c>
      <c r="B687" s="80" t="s">
        <v>2328</v>
      </c>
      <c r="C687" s="80">
        <v>2</v>
      </c>
      <c r="D687" s="104">
        <v>0.00047366098758412623</v>
      </c>
      <c r="E687" s="104">
        <v>2.6624430114561872</v>
      </c>
      <c r="F687" s="80" t="s">
        <v>3370</v>
      </c>
      <c r="G687" s="80" t="b">
        <v>0</v>
      </c>
      <c r="H687" s="80" t="b">
        <v>0</v>
      </c>
      <c r="I687" s="80" t="b">
        <v>0</v>
      </c>
      <c r="J687" s="80" t="b">
        <v>0</v>
      </c>
      <c r="K687" s="80" t="b">
        <v>0</v>
      </c>
      <c r="L687" s="80" t="b">
        <v>0</v>
      </c>
    </row>
    <row r="688" spans="1:12" ht="15">
      <c r="A688" s="81" t="s">
        <v>2793</v>
      </c>
      <c r="B688" s="80" t="s">
        <v>2512</v>
      </c>
      <c r="C688" s="80">
        <v>2</v>
      </c>
      <c r="D688" s="104">
        <v>0.00040173028372176515</v>
      </c>
      <c r="E688" s="104">
        <v>3.042654253167793</v>
      </c>
      <c r="F688" s="80" t="s">
        <v>3370</v>
      </c>
      <c r="G688" s="80" t="b">
        <v>0</v>
      </c>
      <c r="H688" s="80" t="b">
        <v>0</v>
      </c>
      <c r="I688" s="80" t="b">
        <v>0</v>
      </c>
      <c r="J688" s="80" t="b">
        <v>0</v>
      </c>
      <c r="K688" s="80" t="b">
        <v>0</v>
      </c>
      <c r="L688" s="80" t="b">
        <v>0</v>
      </c>
    </row>
    <row r="689" spans="1:12" ht="15">
      <c r="A689" s="81" t="s">
        <v>2236</v>
      </c>
      <c r="B689" s="80" t="s">
        <v>2354</v>
      </c>
      <c r="C689" s="80">
        <v>2</v>
      </c>
      <c r="D689" s="104">
        <v>0.00040173028372176515</v>
      </c>
      <c r="E689" s="104">
        <v>1.759353024464244</v>
      </c>
      <c r="F689" s="80" t="s">
        <v>3370</v>
      </c>
      <c r="G689" s="80" t="b">
        <v>0</v>
      </c>
      <c r="H689" s="80" t="b">
        <v>0</v>
      </c>
      <c r="I689" s="80" t="b">
        <v>0</v>
      </c>
      <c r="J689" s="80" t="b">
        <v>0</v>
      </c>
      <c r="K689" s="80" t="b">
        <v>0</v>
      </c>
      <c r="L689" s="80" t="b">
        <v>0</v>
      </c>
    </row>
    <row r="690" spans="1:12" ht="15">
      <c r="A690" s="81" t="s">
        <v>2552</v>
      </c>
      <c r="B690" s="80" t="s">
        <v>2588</v>
      </c>
      <c r="C690" s="80">
        <v>2</v>
      </c>
      <c r="D690" s="104">
        <v>0.00047366098758412623</v>
      </c>
      <c r="E690" s="104">
        <v>2.9177155165594932</v>
      </c>
      <c r="F690" s="80" t="s">
        <v>3370</v>
      </c>
      <c r="G690" s="80" t="b">
        <v>0</v>
      </c>
      <c r="H690" s="80" t="b">
        <v>0</v>
      </c>
      <c r="I690" s="80" t="b">
        <v>0</v>
      </c>
      <c r="J690" s="80" t="b">
        <v>0</v>
      </c>
      <c r="K690" s="80" t="b">
        <v>0</v>
      </c>
      <c r="L690" s="80" t="b">
        <v>0</v>
      </c>
    </row>
    <row r="691" spans="1:12" ht="15">
      <c r="A691" s="81" t="s">
        <v>2322</v>
      </c>
      <c r="B691" s="80" t="s">
        <v>2795</v>
      </c>
      <c r="C691" s="80">
        <v>2</v>
      </c>
      <c r="D691" s="104">
        <v>0.00040173028372176515</v>
      </c>
      <c r="E691" s="104">
        <v>2.6624430114561872</v>
      </c>
      <c r="F691" s="80" t="s">
        <v>3370</v>
      </c>
      <c r="G691" s="80" t="b">
        <v>0</v>
      </c>
      <c r="H691" s="80" t="b">
        <v>0</v>
      </c>
      <c r="I691" s="80" t="b">
        <v>0</v>
      </c>
      <c r="J691" s="80" t="b">
        <v>0</v>
      </c>
      <c r="K691" s="80" t="b">
        <v>0</v>
      </c>
      <c r="L691" s="80" t="b">
        <v>0</v>
      </c>
    </row>
    <row r="692" spans="1:12" ht="15">
      <c r="A692" s="81" t="s">
        <v>3206</v>
      </c>
      <c r="B692" s="80" t="s">
        <v>2230</v>
      </c>
      <c r="C692" s="80">
        <v>2</v>
      </c>
      <c r="D692" s="104">
        <v>0.00040173028372176515</v>
      </c>
      <c r="E692" s="104">
        <v>2.304931659839758</v>
      </c>
      <c r="F692" s="80" t="s">
        <v>3370</v>
      </c>
      <c r="G692" s="80" t="b">
        <v>1</v>
      </c>
      <c r="H692" s="80" t="b">
        <v>0</v>
      </c>
      <c r="I692" s="80" t="b">
        <v>0</v>
      </c>
      <c r="J692" s="80" t="b">
        <v>0</v>
      </c>
      <c r="K692" s="80" t="b">
        <v>0</v>
      </c>
      <c r="L692" s="80" t="b">
        <v>0</v>
      </c>
    </row>
    <row r="693" spans="1:12" ht="15">
      <c r="A693" s="81" t="s">
        <v>3315</v>
      </c>
      <c r="B693" s="80" t="s">
        <v>2483</v>
      </c>
      <c r="C693" s="80">
        <v>2</v>
      </c>
      <c r="D693" s="104">
        <v>0.00040173028372176515</v>
      </c>
      <c r="E693" s="104">
        <v>3.13956426617585</v>
      </c>
      <c r="F693" s="80" t="s">
        <v>3370</v>
      </c>
      <c r="G693" s="80" t="b">
        <v>0</v>
      </c>
      <c r="H693" s="80" t="b">
        <v>0</v>
      </c>
      <c r="I693" s="80" t="b">
        <v>0</v>
      </c>
      <c r="J693" s="80" t="b">
        <v>0</v>
      </c>
      <c r="K693" s="80" t="b">
        <v>0</v>
      </c>
      <c r="L693" s="80" t="b">
        <v>0</v>
      </c>
    </row>
    <row r="694" spans="1:12" ht="15">
      <c r="A694" s="81" t="s">
        <v>2418</v>
      </c>
      <c r="B694" s="80" t="s">
        <v>2298</v>
      </c>
      <c r="C694" s="80">
        <v>2</v>
      </c>
      <c r="D694" s="104">
        <v>0.00047366098758412623</v>
      </c>
      <c r="E694" s="104">
        <v>2.22751943653098</v>
      </c>
      <c r="F694" s="80" t="s">
        <v>3370</v>
      </c>
      <c r="G694" s="80" t="b">
        <v>0</v>
      </c>
      <c r="H694" s="80" t="b">
        <v>0</v>
      </c>
      <c r="I694" s="80" t="b">
        <v>0</v>
      </c>
      <c r="J694" s="80" t="b">
        <v>0</v>
      </c>
      <c r="K694" s="80" t="b">
        <v>0</v>
      </c>
      <c r="L694" s="80" t="b">
        <v>0</v>
      </c>
    </row>
    <row r="695" spans="1:12" ht="15">
      <c r="A695" s="81" t="s">
        <v>2322</v>
      </c>
      <c r="B695" s="80" t="s">
        <v>2805</v>
      </c>
      <c r="C695" s="80">
        <v>2</v>
      </c>
      <c r="D695" s="104">
        <v>0.00040173028372176515</v>
      </c>
      <c r="E695" s="104">
        <v>2.6624430114561872</v>
      </c>
      <c r="F695" s="80" t="s">
        <v>3370</v>
      </c>
      <c r="G695" s="80" t="b">
        <v>0</v>
      </c>
      <c r="H695" s="80" t="b">
        <v>0</v>
      </c>
      <c r="I695" s="80" t="b">
        <v>0</v>
      </c>
      <c r="J695" s="80" t="b">
        <v>0</v>
      </c>
      <c r="K695" s="80" t="b">
        <v>0</v>
      </c>
      <c r="L695" s="80" t="b">
        <v>0</v>
      </c>
    </row>
    <row r="696" spans="1:12" ht="15">
      <c r="A696" s="81" t="s">
        <v>2483</v>
      </c>
      <c r="B696" s="80" t="s">
        <v>3146</v>
      </c>
      <c r="C696" s="80">
        <v>2</v>
      </c>
      <c r="D696" s="104">
        <v>0.00040173028372176515</v>
      </c>
      <c r="E696" s="104">
        <v>3.2187455122234745</v>
      </c>
      <c r="F696" s="80" t="s">
        <v>3370</v>
      </c>
      <c r="G696" s="80" t="b">
        <v>0</v>
      </c>
      <c r="H696" s="80" t="b">
        <v>0</v>
      </c>
      <c r="I696" s="80" t="b">
        <v>0</v>
      </c>
      <c r="J696" s="80" t="b">
        <v>0</v>
      </c>
      <c r="K696" s="80" t="b">
        <v>0</v>
      </c>
      <c r="L696" s="80" t="b">
        <v>0</v>
      </c>
    </row>
    <row r="697" spans="1:12" ht="15">
      <c r="A697" s="81" t="s">
        <v>2431</v>
      </c>
      <c r="B697" s="80" t="s">
        <v>2439</v>
      </c>
      <c r="C697" s="80">
        <v>2</v>
      </c>
      <c r="D697" s="104">
        <v>0.00040173028372176515</v>
      </c>
      <c r="E697" s="104">
        <v>2.6624430114561872</v>
      </c>
      <c r="F697" s="80" t="s">
        <v>3370</v>
      </c>
      <c r="G697" s="80" t="b">
        <v>0</v>
      </c>
      <c r="H697" s="80" t="b">
        <v>0</v>
      </c>
      <c r="I697" s="80" t="b">
        <v>0</v>
      </c>
      <c r="J697" s="80" t="b">
        <v>0</v>
      </c>
      <c r="K697" s="80" t="b">
        <v>0</v>
      </c>
      <c r="L697" s="80" t="b">
        <v>0</v>
      </c>
    </row>
    <row r="698" spans="1:12" ht="15">
      <c r="A698" s="81" t="s">
        <v>2230</v>
      </c>
      <c r="B698" s="80" t="s">
        <v>2317</v>
      </c>
      <c r="C698" s="80">
        <v>2</v>
      </c>
      <c r="D698" s="104">
        <v>0.00040173028372176515</v>
      </c>
      <c r="E698" s="104">
        <v>1.4920183031969023</v>
      </c>
      <c r="F698" s="80" t="s">
        <v>3370</v>
      </c>
      <c r="G698" s="80" t="b">
        <v>0</v>
      </c>
      <c r="H698" s="80" t="b">
        <v>0</v>
      </c>
      <c r="I698" s="80" t="b">
        <v>0</v>
      </c>
      <c r="J698" s="80" t="b">
        <v>0</v>
      </c>
      <c r="K698" s="80" t="b">
        <v>0</v>
      </c>
      <c r="L698" s="80" t="b">
        <v>0</v>
      </c>
    </row>
    <row r="699" spans="1:12" ht="15">
      <c r="A699" s="81" t="s">
        <v>3357</v>
      </c>
      <c r="B699" s="80" t="s">
        <v>3130</v>
      </c>
      <c r="C699" s="80">
        <v>2</v>
      </c>
      <c r="D699" s="104">
        <v>0.00040173028372176515</v>
      </c>
      <c r="E699" s="104">
        <v>3.616685520895512</v>
      </c>
      <c r="F699" s="80" t="s">
        <v>3370</v>
      </c>
      <c r="G699" s="80" t="b">
        <v>0</v>
      </c>
      <c r="H699" s="80" t="b">
        <v>0</v>
      </c>
      <c r="I699" s="80" t="b">
        <v>0</v>
      </c>
      <c r="J699" s="80" t="b">
        <v>0</v>
      </c>
      <c r="K699" s="80" t="b">
        <v>0</v>
      </c>
      <c r="L699" s="80" t="b">
        <v>0</v>
      </c>
    </row>
    <row r="700" spans="1:12" ht="15">
      <c r="A700" s="81" t="s">
        <v>2291</v>
      </c>
      <c r="B700" s="80" t="s">
        <v>2354</v>
      </c>
      <c r="C700" s="80">
        <v>2</v>
      </c>
      <c r="D700" s="104">
        <v>0.00040173028372176515</v>
      </c>
      <c r="E700" s="104">
        <v>2.1183749671059116</v>
      </c>
      <c r="F700" s="80" t="s">
        <v>3370</v>
      </c>
      <c r="G700" s="80" t="b">
        <v>0</v>
      </c>
      <c r="H700" s="80" t="b">
        <v>0</v>
      </c>
      <c r="I700" s="80" t="b">
        <v>0</v>
      </c>
      <c r="J700" s="80" t="b">
        <v>0</v>
      </c>
      <c r="K700" s="80" t="b">
        <v>0</v>
      </c>
      <c r="L700" s="80" t="b">
        <v>0</v>
      </c>
    </row>
    <row r="701" spans="1:12" ht="15">
      <c r="A701" s="81" t="s">
        <v>2215</v>
      </c>
      <c r="B701" s="80" t="s">
        <v>2225</v>
      </c>
      <c r="C701" s="80">
        <v>2</v>
      </c>
      <c r="D701" s="104">
        <v>0.00040173028372176515</v>
      </c>
      <c r="E701" s="104">
        <v>0.5784628825267938</v>
      </c>
      <c r="F701" s="80" t="s">
        <v>3370</v>
      </c>
      <c r="G701" s="80" t="b">
        <v>0</v>
      </c>
      <c r="H701" s="80" t="b">
        <v>0</v>
      </c>
      <c r="I701" s="80" t="b">
        <v>0</v>
      </c>
      <c r="J701" s="80" t="b">
        <v>0</v>
      </c>
      <c r="K701" s="80" t="b">
        <v>0</v>
      </c>
      <c r="L701" s="80" t="b">
        <v>0</v>
      </c>
    </row>
    <row r="702" spans="1:12" ht="15">
      <c r="A702" s="81" t="s">
        <v>2727</v>
      </c>
      <c r="B702" s="80" t="s">
        <v>2983</v>
      </c>
      <c r="C702" s="80">
        <v>2</v>
      </c>
      <c r="D702" s="104">
        <v>0.00040173028372176515</v>
      </c>
      <c r="E702" s="104">
        <v>3.440594261839831</v>
      </c>
      <c r="F702" s="80" t="s">
        <v>3370</v>
      </c>
      <c r="G702" s="80" t="b">
        <v>0</v>
      </c>
      <c r="H702" s="80" t="b">
        <v>0</v>
      </c>
      <c r="I702" s="80" t="b">
        <v>0</v>
      </c>
      <c r="J702" s="80" t="b">
        <v>1</v>
      </c>
      <c r="K702" s="80" t="b">
        <v>0</v>
      </c>
      <c r="L702" s="80" t="b">
        <v>0</v>
      </c>
    </row>
    <row r="703" spans="1:12" ht="15">
      <c r="A703" s="81" t="s">
        <v>2220</v>
      </c>
      <c r="B703" s="80" t="s">
        <v>3311</v>
      </c>
      <c r="C703" s="80">
        <v>2</v>
      </c>
      <c r="D703" s="104">
        <v>0.00047366098758412623</v>
      </c>
      <c r="E703" s="104">
        <v>2.1542875229965563</v>
      </c>
      <c r="F703" s="80" t="s">
        <v>3370</v>
      </c>
      <c r="G703" s="80" t="b">
        <v>0</v>
      </c>
      <c r="H703" s="80" t="b">
        <v>0</v>
      </c>
      <c r="I703" s="80" t="b">
        <v>0</v>
      </c>
      <c r="J703" s="80" t="b">
        <v>0</v>
      </c>
      <c r="K703" s="80" t="b">
        <v>0</v>
      </c>
      <c r="L703" s="80" t="b">
        <v>0</v>
      </c>
    </row>
    <row r="704" spans="1:12" ht="15">
      <c r="A704" s="81" t="s">
        <v>2247</v>
      </c>
      <c r="B704" s="80" t="s">
        <v>3268</v>
      </c>
      <c r="C704" s="80">
        <v>2</v>
      </c>
      <c r="D704" s="104">
        <v>0.00040173028372176515</v>
      </c>
      <c r="E704" s="104">
        <v>2.5197755078874557</v>
      </c>
      <c r="F704" s="80" t="s">
        <v>3370</v>
      </c>
      <c r="G704" s="80" t="b">
        <v>0</v>
      </c>
      <c r="H704" s="80" t="b">
        <v>0</v>
      </c>
      <c r="I704" s="80" t="b">
        <v>0</v>
      </c>
      <c r="J704" s="80" t="b">
        <v>0</v>
      </c>
      <c r="K704" s="80" t="b">
        <v>0</v>
      </c>
      <c r="L704" s="80" t="b">
        <v>0</v>
      </c>
    </row>
    <row r="705" spans="1:12" ht="15">
      <c r="A705" s="81" t="s">
        <v>2472</v>
      </c>
      <c r="B705" s="80" t="s">
        <v>2600</v>
      </c>
      <c r="C705" s="80">
        <v>2</v>
      </c>
      <c r="D705" s="104">
        <v>0.00040173028372176515</v>
      </c>
      <c r="E705" s="104">
        <v>2.8385342705118686</v>
      </c>
      <c r="F705" s="80" t="s">
        <v>3370</v>
      </c>
      <c r="G705" s="80" t="b">
        <v>0</v>
      </c>
      <c r="H705" s="80" t="b">
        <v>0</v>
      </c>
      <c r="I705" s="80" t="b">
        <v>0</v>
      </c>
      <c r="J705" s="80" t="b">
        <v>0</v>
      </c>
      <c r="K705" s="80" t="b">
        <v>0</v>
      </c>
      <c r="L705" s="80" t="b">
        <v>0</v>
      </c>
    </row>
    <row r="706" spans="1:12" ht="15">
      <c r="A706" s="81" t="s">
        <v>2993</v>
      </c>
      <c r="B706" s="80" t="s">
        <v>2950</v>
      </c>
      <c r="C706" s="80">
        <v>2</v>
      </c>
      <c r="D706" s="104">
        <v>0.00040173028372176515</v>
      </c>
      <c r="E706" s="104">
        <v>3.616685520895512</v>
      </c>
      <c r="F706" s="80" t="s">
        <v>3370</v>
      </c>
      <c r="G706" s="80" t="b">
        <v>0</v>
      </c>
      <c r="H706" s="80" t="b">
        <v>0</v>
      </c>
      <c r="I706" s="80" t="b">
        <v>0</v>
      </c>
      <c r="J706" s="80" t="b">
        <v>0</v>
      </c>
      <c r="K706" s="80" t="b">
        <v>0</v>
      </c>
      <c r="L706" s="80" t="b">
        <v>0</v>
      </c>
    </row>
    <row r="707" spans="1:12" ht="15">
      <c r="A707" s="81" t="s">
        <v>2261</v>
      </c>
      <c r="B707" s="80" t="s">
        <v>2236</v>
      </c>
      <c r="C707" s="80">
        <v>2</v>
      </c>
      <c r="D707" s="104">
        <v>0.00040173028372176515</v>
      </c>
      <c r="E707" s="104">
        <v>1.4348419329507396</v>
      </c>
      <c r="F707" s="80" t="s">
        <v>3370</v>
      </c>
      <c r="G707" s="80" t="b">
        <v>1</v>
      </c>
      <c r="H707" s="80" t="b">
        <v>0</v>
      </c>
      <c r="I707" s="80" t="b">
        <v>0</v>
      </c>
      <c r="J707" s="80" t="b">
        <v>0</v>
      </c>
      <c r="K707" s="80" t="b">
        <v>0</v>
      </c>
      <c r="L707" s="80" t="b">
        <v>0</v>
      </c>
    </row>
    <row r="708" spans="1:12" ht="15">
      <c r="A708" s="81" t="s">
        <v>2970</v>
      </c>
      <c r="B708" s="80" t="s">
        <v>2321</v>
      </c>
      <c r="C708" s="80">
        <v>2</v>
      </c>
      <c r="D708" s="104">
        <v>0.00040173028372176515</v>
      </c>
      <c r="E708" s="104">
        <v>2.8385342705118686</v>
      </c>
      <c r="F708" s="80" t="s">
        <v>3370</v>
      </c>
      <c r="G708" s="80" t="b">
        <v>0</v>
      </c>
      <c r="H708" s="80" t="b">
        <v>0</v>
      </c>
      <c r="I708" s="80" t="b">
        <v>0</v>
      </c>
      <c r="J708" s="80" t="b">
        <v>0</v>
      </c>
      <c r="K708" s="80" t="b">
        <v>0</v>
      </c>
      <c r="L708" s="80" t="b">
        <v>0</v>
      </c>
    </row>
    <row r="709" spans="1:12" ht="15">
      <c r="A709" s="81" t="s">
        <v>2700</v>
      </c>
      <c r="B709" s="80" t="s">
        <v>2250</v>
      </c>
      <c r="C709" s="80">
        <v>2</v>
      </c>
      <c r="D709" s="104">
        <v>0.00040173028372176515</v>
      </c>
      <c r="E709" s="104">
        <v>2.3798964214862193</v>
      </c>
      <c r="F709" s="80" t="s">
        <v>3370</v>
      </c>
      <c r="G709" s="80" t="b">
        <v>0</v>
      </c>
      <c r="H709" s="80" t="b">
        <v>0</v>
      </c>
      <c r="I709" s="80" t="b">
        <v>0</v>
      </c>
      <c r="J709" s="80" t="b">
        <v>0</v>
      </c>
      <c r="K709" s="80" t="b">
        <v>0</v>
      </c>
      <c r="L709" s="80" t="b">
        <v>0</v>
      </c>
    </row>
    <row r="710" spans="1:12" ht="15">
      <c r="A710" s="81" t="s">
        <v>2990</v>
      </c>
      <c r="B710" s="80" t="s">
        <v>3283</v>
      </c>
      <c r="C710" s="80">
        <v>2</v>
      </c>
      <c r="D710" s="104">
        <v>0.00040173028372176515</v>
      </c>
      <c r="E710" s="104">
        <v>3.616685520895512</v>
      </c>
      <c r="F710" s="80" t="s">
        <v>3370</v>
      </c>
      <c r="G710" s="80" t="b">
        <v>0</v>
      </c>
      <c r="H710" s="80" t="b">
        <v>0</v>
      </c>
      <c r="I710" s="80" t="b">
        <v>0</v>
      </c>
      <c r="J710" s="80" t="b">
        <v>0</v>
      </c>
      <c r="K710" s="80" t="b">
        <v>0</v>
      </c>
      <c r="L710" s="80" t="b">
        <v>0</v>
      </c>
    </row>
    <row r="711" spans="1:12" ht="15">
      <c r="A711" s="81" t="s">
        <v>2280</v>
      </c>
      <c r="B711" s="80" t="s">
        <v>2292</v>
      </c>
      <c r="C711" s="80">
        <v>2</v>
      </c>
      <c r="D711" s="104">
        <v>0.00040173028372176515</v>
      </c>
      <c r="E711" s="104">
        <v>1.8684974938893117</v>
      </c>
      <c r="F711" s="80" t="s">
        <v>3370</v>
      </c>
      <c r="G711" s="80" t="b">
        <v>0</v>
      </c>
      <c r="H711" s="80" t="b">
        <v>0</v>
      </c>
      <c r="I711" s="80" t="b">
        <v>0</v>
      </c>
      <c r="J711" s="80" t="b">
        <v>0</v>
      </c>
      <c r="K711" s="80" t="b">
        <v>0</v>
      </c>
      <c r="L711" s="80" t="b">
        <v>0</v>
      </c>
    </row>
    <row r="712" spans="1:12" ht="15">
      <c r="A712" s="81" t="s">
        <v>2213</v>
      </c>
      <c r="B712" s="80" t="s">
        <v>2480</v>
      </c>
      <c r="C712" s="80">
        <v>2</v>
      </c>
      <c r="D712" s="104">
        <v>0.00040173028372176515</v>
      </c>
      <c r="E712" s="104">
        <v>1.3167426208727453</v>
      </c>
      <c r="F712" s="80" t="s">
        <v>3370</v>
      </c>
      <c r="G712" s="80" t="b">
        <v>0</v>
      </c>
      <c r="H712" s="80" t="b">
        <v>0</v>
      </c>
      <c r="I712" s="80" t="b">
        <v>0</v>
      </c>
      <c r="J712" s="80" t="b">
        <v>0</v>
      </c>
      <c r="K712" s="80" t="b">
        <v>0</v>
      </c>
      <c r="L712" s="80" t="b">
        <v>0</v>
      </c>
    </row>
    <row r="713" spans="1:12" ht="15">
      <c r="A713" s="81" t="s">
        <v>2512</v>
      </c>
      <c r="B713" s="80" t="s">
        <v>3036</v>
      </c>
      <c r="C713" s="80">
        <v>2</v>
      </c>
      <c r="D713" s="104">
        <v>0.00040173028372176515</v>
      </c>
      <c r="E713" s="104">
        <v>3.2187455122234745</v>
      </c>
      <c r="F713" s="80" t="s">
        <v>3370</v>
      </c>
      <c r="G713" s="80" t="b">
        <v>0</v>
      </c>
      <c r="H713" s="80" t="b">
        <v>0</v>
      </c>
      <c r="I713" s="80" t="b">
        <v>0</v>
      </c>
      <c r="J713" s="80" t="b">
        <v>0</v>
      </c>
      <c r="K713" s="80" t="b">
        <v>0</v>
      </c>
      <c r="L713" s="80" t="b">
        <v>0</v>
      </c>
    </row>
    <row r="714" spans="1:12" ht="15">
      <c r="A714" s="81" t="s">
        <v>2214</v>
      </c>
      <c r="B714" s="80" t="s">
        <v>2243</v>
      </c>
      <c r="C714" s="80">
        <v>2</v>
      </c>
      <c r="D714" s="104">
        <v>0.00040173028372176515</v>
      </c>
      <c r="E714" s="104">
        <v>0.7146826295447828</v>
      </c>
      <c r="F714" s="80" t="s">
        <v>3370</v>
      </c>
      <c r="G714" s="80" t="b">
        <v>0</v>
      </c>
      <c r="H714" s="80" t="b">
        <v>0</v>
      </c>
      <c r="I714" s="80" t="b">
        <v>0</v>
      </c>
      <c r="J714" s="80" t="b">
        <v>0</v>
      </c>
      <c r="K714" s="80" t="b">
        <v>0</v>
      </c>
      <c r="L714" s="80" t="b">
        <v>0</v>
      </c>
    </row>
    <row r="715" spans="1:12" ht="15">
      <c r="A715" s="81" t="s">
        <v>2370</v>
      </c>
      <c r="B715" s="80" t="s">
        <v>2530</v>
      </c>
      <c r="C715" s="80">
        <v>2</v>
      </c>
      <c r="D715" s="104">
        <v>0.00040173028372176515</v>
      </c>
      <c r="E715" s="104">
        <v>2.565532998448131</v>
      </c>
      <c r="F715" s="80" t="s">
        <v>3370</v>
      </c>
      <c r="G715" s="80" t="b">
        <v>0</v>
      </c>
      <c r="H715" s="80" t="b">
        <v>0</v>
      </c>
      <c r="I715" s="80" t="b">
        <v>0</v>
      </c>
      <c r="J715" s="80" t="b">
        <v>0</v>
      </c>
      <c r="K715" s="80" t="b">
        <v>0</v>
      </c>
      <c r="L715" s="80" t="b">
        <v>0</v>
      </c>
    </row>
    <row r="716" spans="1:12" ht="15">
      <c r="A716" s="81" t="s">
        <v>2431</v>
      </c>
      <c r="B716" s="80" t="s">
        <v>2359</v>
      </c>
      <c r="C716" s="80">
        <v>2</v>
      </c>
      <c r="D716" s="104">
        <v>0.00040173028372176515</v>
      </c>
      <c r="E716" s="104">
        <v>2.486351752400506</v>
      </c>
      <c r="F716" s="80" t="s">
        <v>3370</v>
      </c>
      <c r="G716" s="80" t="b">
        <v>0</v>
      </c>
      <c r="H716" s="80" t="b">
        <v>0</v>
      </c>
      <c r="I716" s="80" t="b">
        <v>0</v>
      </c>
      <c r="J716" s="80" t="b">
        <v>0</v>
      </c>
      <c r="K716" s="80" t="b">
        <v>0</v>
      </c>
      <c r="L716" s="80" t="b">
        <v>0</v>
      </c>
    </row>
    <row r="717" spans="1:12" ht="15">
      <c r="A717" s="81" t="s">
        <v>2664</v>
      </c>
      <c r="B717" s="80" t="s">
        <v>2591</v>
      </c>
      <c r="C717" s="80">
        <v>2</v>
      </c>
      <c r="D717" s="104">
        <v>0.00040173028372176515</v>
      </c>
      <c r="E717" s="104">
        <v>3.01462552956755</v>
      </c>
      <c r="F717" s="80" t="s">
        <v>3370</v>
      </c>
      <c r="G717" s="80" t="b">
        <v>0</v>
      </c>
      <c r="H717" s="80" t="b">
        <v>0</v>
      </c>
      <c r="I717" s="80" t="b">
        <v>0</v>
      </c>
      <c r="J717" s="80" t="b">
        <v>0</v>
      </c>
      <c r="K717" s="80" t="b">
        <v>0</v>
      </c>
      <c r="L717" s="80" t="b">
        <v>0</v>
      </c>
    </row>
    <row r="718" spans="1:12" ht="15">
      <c r="A718" s="81" t="s">
        <v>2283</v>
      </c>
      <c r="B718" s="80" t="s">
        <v>2673</v>
      </c>
      <c r="C718" s="80">
        <v>2</v>
      </c>
      <c r="D718" s="104">
        <v>0.00040173028372176515</v>
      </c>
      <c r="E718" s="104">
        <v>2.440594261839831</v>
      </c>
      <c r="F718" s="80" t="s">
        <v>3370</v>
      </c>
      <c r="G718" s="80" t="b">
        <v>0</v>
      </c>
      <c r="H718" s="80" t="b">
        <v>0</v>
      </c>
      <c r="I718" s="80" t="b">
        <v>0</v>
      </c>
      <c r="J718" s="80" t="b">
        <v>0</v>
      </c>
      <c r="K718" s="80" t="b">
        <v>0</v>
      </c>
      <c r="L718" s="80" t="b">
        <v>0</v>
      </c>
    </row>
    <row r="719" spans="1:12" ht="15">
      <c r="A719" s="81" t="s">
        <v>2264</v>
      </c>
      <c r="B719" s="80" t="s">
        <v>2213</v>
      </c>
      <c r="C719" s="80">
        <v>2</v>
      </c>
      <c r="D719" s="104">
        <v>0.00040173028372176515</v>
      </c>
      <c r="E719" s="104">
        <v>0.9065681557836959</v>
      </c>
      <c r="F719" s="80" t="s">
        <v>3370</v>
      </c>
      <c r="G719" s="80" t="b">
        <v>0</v>
      </c>
      <c r="H719" s="80" t="b">
        <v>0</v>
      </c>
      <c r="I719" s="80" t="b">
        <v>0</v>
      </c>
      <c r="J719" s="80" t="b">
        <v>0</v>
      </c>
      <c r="K719" s="80" t="b">
        <v>0</v>
      </c>
      <c r="L719" s="80" t="b">
        <v>0</v>
      </c>
    </row>
    <row r="720" spans="1:12" ht="15">
      <c r="A720" s="81" t="s">
        <v>2308</v>
      </c>
      <c r="B720" s="80" t="s">
        <v>3114</v>
      </c>
      <c r="C720" s="80">
        <v>2</v>
      </c>
      <c r="D720" s="104">
        <v>0.00047366098758412623</v>
      </c>
      <c r="E720" s="104">
        <v>2.8037721642526567</v>
      </c>
      <c r="F720" s="80" t="s">
        <v>3370</v>
      </c>
      <c r="G720" s="80" t="b">
        <v>0</v>
      </c>
      <c r="H720" s="80" t="b">
        <v>0</v>
      </c>
      <c r="I720" s="80" t="b">
        <v>0</v>
      </c>
      <c r="J720" s="80" t="b">
        <v>0</v>
      </c>
      <c r="K720" s="80" t="b">
        <v>0</v>
      </c>
      <c r="L720" s="80" t="b">
        <v>0</v>
      </c>
    </row>
    <row r="721" spans="1:12" ht="15">
      <c r="A721" s="81" t="s">
        <v>2243</v>
      </c>
      <c r="B721" s="80" t="s">
        <v>2330</v>
      </c>
      <c r="C721" s="80">
        <v>2</v>
      </c>
      <c r="D721" s="104">
        <v>0.00040173028372176515</v>
      </c>
      <c r="E721" s="104">
        <v>1.7301947957230304</v>
      </c>
      <c r="F721" s="80" t="s">
        <v>3370</v>
      </c>
      <c r="G721" s="80" t="b">
        <v>0</v>
      </c>
      <c r="H721" s="80" t="b">
        <v>0</v>
      </c>
      <c r="I721" s="80" t="b">
        <v>0</v>
      </c>
      <c r="J721" s="80" t="b">
        <v>0</v>
      </c>
      <c r="K721" s="80" t="b">
        <v>0</v>
      </c>
      <c r="L721" s="80" t="b">
        <v>0</v>
      </c>
    </row>
    <row r="722" spans="1:12" ht="15">
      <c r="A722" s="81" t="s">
        <v>2236</v>
      </c>
      <c r="B722" s="80" t="s">
        <v>2895</v>
      </c>
      <c r="C722" s="80">
        <v>2</v>
      </c>
      <c r="D722" s="104">
        <v>0.00040173028372176515</v>
      </c>
      <c r="E722" s="104">
        <v>2.4125655382395874</v>
      </c>
      <c r="F722" s="80" t="s">
        <v>3370</v>
      </c>
      <c r="G722" s="80" t="b">
        <v>0</v>
      </c>
      <c r="H722" s="80" t="b">
        <v>0</v>
      </c>
      <c r="I722" s="80" t="b">
        <v>0</v>
      </c>
      <c r="J722" s="80" t="b">
        <v>0</v>
      </c>
      <c r="K722" s="80" t="b">
        <v>0</v>
      </c>
      <c r="L722" s="80" t="b">
        <v>0</v>
      </c>
    </row>
    <row r="723" spans="1:12" ht="15">
      <c r="A723" s="81" t="s">
        <v>2297</v>
      </c>
      <c r="B723" s="80" t="s">
        <v>2219</v>
      </c>
      <c r="C723" s="80">
        <v>2</v>
      </c>
      <c r="D723" s="104">
        <v>0.00047366098758412623</v>
      </c>
      <c r="E723" s="104">
        <v>1.3017654649030923</v>
      </c>
      <c r="F723" s="80" t="s">
        <v>3370</v>
      </c>
      <c r="G723" s="80" t="b">
        <v>0</v>
      </c>
      <c r="H723" s="80" t="b">
        <v>0</v>
      </c>
      <c r="I723" s="80" t="b">
        <v>0</v>
      </c>
      <c r="J723" s="80" t="b">
        <v>0</v>
      </c>
      <c r="K723" s="80" t="b">
        <v>0</v>
      </c>
      <c r="L723" s="80" t="b">
        <v>0</v>
      </c>
    </row>
    <row r="724" spans="1:12" ht="15">
      <c r="A724" s="81" t="s">
        <v>2216</v>
      </c>
      <c r="B724" s="80" t="s">
        <v>2298</v>
      </c>
      <c r="C724" s="80">
        <v>2</v>
      </c>
      <c r="D724" s="104">
        <v>0.00040173028372176515</v>
      </c>
      <c r="E724" s="104">
        <v>1.15880362416152</v>
      </c>
      <c r="F724" s="80" t="s">
        <v>3370</v>
      </c>
      <c r="G724" s="80" t="b">
        <v>0</v>
      </c>
      <c r="H724" s="80" t="b">
        <v>0</v>
      </c>
      <c r="I724" s="80" t="b">
        <v>0</v>
      </c>
      <c r="J724" s="80" t="b">
        <v>0</v>
      </c>
      <c r="K724" s="80" t="b">
        <v>0</v>
      </c>
      <c r="L724" s="80" t="b">
        <v>0</v>
      </c>
    </row>
    <row r="725" spans="1:12" ht="15">
      <c r="A725" s="81" t="s">
        <v>2295</v>
      </c>
      <c r="B725" s="80" t="s">
        <v>2356</v>
      </c>
      <c r="C725" s="80">
        <v>2</v>
      </c>
      <c r="D725" s="104">
        <v>0.00040173028372176515</v>
      </c>
      <c r="E725" s="104">
        <v>2.22751943653098</v>
      </c>
      <c r="F725" s="80" t="s">
        <v>3370</v>
      </c>
      <c r="G725" s="80" t="b">
        <v>0</v>
      </c>
      <c r="H725" s="80" t="b">
        <v>0</v>
      </c>
      <c r="I725" s="80" t="b">
        <v>0</v>
      </c>
      <c r="J725" s="80" t="b">
        <v>0</v>
      </c>
      <c r="K725" s="80" t="b">
        <v>0</v>
      </c>
      <c r="L725" s="80" t="b">
        <v>0</v>
      </c>
    </row>
    <row r="726" spans="1:12" ht="15">
      <c r="A726" s="81" t="s">
        <v>2618</v>
      </c>
      <c r="B726" s="80" t="s">
        <v>2616</v>
      </c>
      <c r="C726" s="80">
        <v>2</v>
      </c>
      <c r="D726" s="104">
        <v>0.00040173028372176515</v>
      </c>
      <c r="E726" s="104">
        <v>3.01462552956755</v>
      </c>
      <c r="F726" s="80" t="s">
        <v>3370</v>
      </c>
      <c r="G726" s="80" t="b">
        <v>0</v>
      </c>
      <c r="H726" s="80" t="b">
        <v>0</v>
      </c>
      <c r="I726" s="80" t="b">
        <v>0</v>
      </c>
      <c r="J726" s="80" t="b">
        <v>0</v>
      </c>
      <c r="K726" s="80" t="b">
        <v>0</v>
      </c>
      <c r="L726" s="80" t="b">
        <v>0</v>
      </c>
    </row>
    <row r="727" spans="1:12" ht="15">
      <c r="A727" s="81" t="s">
        <v>3300</v>
      </c>
      <c r="B727" s="80" t="s">
        <v>2363</v>
      </c>
      <c r="C727" s="80">
        <v>2</v>
      </c>
      <c r="D727" s="104">
        <v>0.00040173028372176515</v>
      </c>
      <c r="E727" s="104">
        <v>2.9634730071201685</v>
      </c>
      <c r="F727" s="80" t="s">
        <v>3370</v>
      </c>
      <c r="G727" s="80" t="b">
        <v>0</v>
      </c>
      <c r="H727" s="80" t="b">
        <v>0</v>
      </c>
      <c r="I727" s="80" t="b">
        <v>0</v>
      </c>
      <c r="J727" s="80" t="b">
        <v>0</v>
      </c>
      <c r="K727" s="80" t="b">
        <v>0</v>
      </c>
      <c r="L727" s="80" t="b">
        <v>0</v>
      </c>
    </row>
    <row r="728" spans="1:12" ht="15">
      <c r="A728" s="81" t="s">
        <v>3114</v>
      </c>
      <c r="B728" s="80" t="s">
        <v>3179</v>
      </c>
      <c r="C728" s="80">
        <v>2</v>
      </c>
      <c r="D728" s="104">
        <v>0.00047366098758412623</v>
      </c>
      <c r="E728" s="104">
        <v>3.616685520895512</v>
      </c>
      <c r="F728" s="80" t="s">
        <v>3370</v>
      </c>
      <c r="G728" s="80" t="b">
        <v>0</v>
      </c>
      <c r="H728" s="80" t="b">
        <v>0</v>
      </c>
      <c r="I728" s="80" t="b">
        <v>0</v>
      </c>
      <c r="J728" s="80" t="b">
        <v>0</v>
      </c>
      <c r="K728" s="80" t="b">
        <v>0</v>
      </c>
      <c r="L728" s="80" t="b">
        <v>0</v>
      </c>
    </row>
    <row r="729" spans="1:12" ht="15">
      <c r="A729" s="81" t="s">
        <v>2329</v>
      </c>
      <c r="B729" s="80" t="s">
        <v>2378</v>
      </c>
      <c r="C729" s="80">
        <v>2</v>
      </c>
      <c r="D729" s="104">
        <v>0.00040173028372176515</v>
      </c>
      <c r="E729" s="104">
        <v>2.236474279183906</v>
      </c>
      <c r="F729" s="80" t="s">
        <v>3370</v>
      </c>
      <c r="G729" s="80" t="b">
        <v>0</v>
      </c>
      <c r="H729" s="80" t="b">
        <v>0</v>
      </c>
      <c r="I729" s="80" t="b">
        <v>0</v>
      </c>
      <c r="J729" s="80" t="b">
        <v>0</v>
      </c>
      <c r="K729" s="80" t="b">
        <v>1</v>
      </c>
      <c r="L729" s="80" t="b">
        <v>0</v>
      </c>
    </row>
    <row r="730" spans="1:12" ht="15">
      <c r="A730" s="81" t="s">
        <v>2220</v>
      </c>
      <c r="B730" s="80" t="s">
        <v>2583</v>
      </c>
      <c r="C730" s="80">
        <v>2</v>
      </c>
      <c r="D730" s="104">
        <v>0.00047366098758412623</v>
      </c>
      <c r="E730" s="104">
        <v>1.8532575273325749</v>
      </c>
      <c r="F730" s="80" t="s">
        <v>3370</v>
      </c>
      <c r="G730" s="80" t="b">
        <v>0</v>
      </c>
      <c r="H730" s="80" t="b">
        <v>0</v>
      </c>
      <c r="I730" s="80" t="b">
        <v>0</v>
      </c>
      <c r="J730" s="80" t="b">
        <v>0</v>
      </c>
      <c r="K730" s="80" t="b">
        <v>0</v>
      </c>
      <c r="L730" s="80" t="b">
        <v>0</v>
      </c>
    </row>
    <row r="731" spans="1:12" ht="15">
      <c r="A731" s="81" t="s">
        <v>2890</v>
      </c>
      <c r="B731" s="80" t="s">
        <v>2357</v>
      </c>
      <c r="C731" s="80">
        <v>2</v>
      </c>
      <c r="D731" s="104">
        <v>0.00040173028372176515</v>
      </c>
      <c r="E731" s="104">
        <v>3.01462552956755</v>
      </c>
      <c r="F731" s="80" t="s">
        <v>3370</v>
      </c>
      <c r="G731" s="80" t="b">
        <v>0</v>
      </c>
      <c r="H731" s="80" t="b">
        <v>0</v>
      </c>
      <c r="I731" s="80" t="b">
        <v>0</v>
      </c>
      <c r="J731" s="80" t="b">
        <v>0</v>
      </c>
      <c r="K731" s="80" t="b">
        <v>0</v>
      </c>
      <c r="L731" s="80" t="b">
        <v>0</v>
      </c>
    </row>
    <row r="732" spans="1:12" ht="15">
      <c r="A732" s="81" t="s">
        <v>2233</v>
      </c>
      <c r="B732" s="80" t="s">
        <v>2951</v>
      </c>
      <c r="C732" s="80">
        <v>2</v>
      </c>
      <c r="D732" s="104">
        <v>0.00040173028372176515</v>
      </c>
      <c r="E732" s="104">
        <v>2.440594261839831</v>
      </c>
      <c r="F732" s="80" t="s">
        <v>3370</v>
      </c>
      <c r="G732" s="80" t="b">
        <v>0</v>
      </c>
      <c r="H732" s="80" t="b">
        <v>0</v>
      </c>
      <c r="I732" s="80" t="b">
        <v>0</v>
      </c>
      <c r="J732" s="80" t="b">
        <v>0</v>
      </c>
      <c r="K732" s="80" t="b">
        <v>0</v>
      </c>
      <c r="L732" s="80" t="b">
        <v>0</v>
      </c>
    </row>
    <row r="733" spans="1:12" ht="15">
      <c r="A733" s="81" t="s">
        <v>2375</v>
      </c>
      <c r="B733" s="80" t="s">
        <v>3272</v>
      </c>
      <c r="C733" s="80">
        <v>2</v>
      </c>
      <c r="D733" s="104">
        <v>0.00047366098758412623</v>
      </c>
      <c r="E733" s="104">
        <v>3.01462552956755</v>
      </c>
      <c r="F733" s="80" t="s">
        <v>3370</v>
      </c>
      <c r="G733" s="80" t="b">
        <v>0</v>
      </c>
      <c r="H733" s="80" t="b">
        <v>0</v>
      </c>
      <c r="I733" s="80" t="b">
        <v>0</v>
      </c>
      <c r="J733" s="80" t="b">
        <v>0</v>
      </c>
      <c r="K733" s="80" t="b">
        <v>0</v>
      </c>
      <c r="L733" s="80" t="b">
        <v>0</v>
      </c>
    </row>
    <row r="734" spans="1:12" ht="15">
      <c r="A734" s="81" t="s">
        <v>2269</v>
      </c>
      <c r="B734" s="80" t="s">
        <v>2462</v>
      </c>
      <c r="C734" s="80">
        <v>2</v>
      </c>
      <c r="D734" s="104">
        <v>0.00040173028372176515</v>
      </c>
      <c r="E734" s="104">
        <v>2.210145340461557</v>
      </c>
      <c r="F734" s="80" t="s">
        <v>3370</v>
      </c>
      <c r="G734" s="80" t="b">
        <v>0</v>
      </c>
      <c r="H734" s="80" t="b">
        <v>0</v>
      </c>
      <c r="I734" s="80" t="b">
        <v>0</v>
      </c>
      <c r="J734" s="80" t="b">
        <v>0</v>
      </c>
      <c r="K734" s="80" t="b">
        <v>0</v>
      </c>
      <c r="L734" s="80" t="b">
        <v>0</v>
      </c>
    </row>
    <row r="735" spans="1:12" ht="15">
      <c r="A735" s="81" t="s">
        <v>2229</v>
      </c>
      <c r="B735" s="80" t="s">
        <v>2601</v>
      </c>
      <c r="C735" s="80">
        <v>2</v>
      </c>
      <c r="D735" s="104">
        <v>0.00040173028372176515</v>
      </c>
      <c r="E735" s="104">
        <v>2.003901664175777</v>
      </c>
      <c r="F735" s="80" t="s">
        <v>3370</v>
      </c>
      <c r="G735" s="80" t="b">
        <v>0</v>
      </c>
      <c r="H735" s="80" t="b">
        <v>0</v>
      </c>
      <c r="I735" s="80" t="b">
        <v>0</v>
      </c>
      <c r="J735" s="80" t="b">
        <v>0</v>
      </c>
      <c r="K735" s="80" t="b">
        <v>0</v>
      </c>
      <c r="L735" s="80" t="b">
        <v>0</v>
      </c>
    </row>
    <row r="736" spans="1:12" ht="15">
      <c r="A736" s="81" t="s">
        <v>2605</v>
      </c>
      <c r="B736" s="80" t="s">
        <v>2394</v>
      </c>
      <c r="C736" s="80">
        <v>2</v>
      </c>
      <c r="D736" s="104">
        <v>0.00040173028372176515</v>
      </c>
      <c r="E736" s="104">
        <v>2.7715874808812555</v>
      </c>
      <c r="F736" s="80" t="s">
        <v>3370</v>
      </c>
      <c r="G736" s="80" t="b">
        <v>0</v>
      </c>
      <c r="H736" s="80" t="b">
        <v>0</v>
      </c>
      <c r="I736" s="80" t="b">
        <v>0</v>
      </c>
      <c r="J736" s="80" t="b">
        <v>0</v>
      </c>
      <c r="K736" s="80" t="b">
        <v>0</v>
      </c>
      <c r="L736" s="80" t="b">
        <v>0</v>
      </c>
    </row>
    <row r="737" spans="1:12" ht="15">
      <c r="A737" s="81" t="s">
        <v>3007</v>
      </c>
      <c r="B737" s="80" t="s">
        <v>3314</v>
      </c>
      <c r="C737" s="80">
        <v>2</v>
      </c>
      <c r="D737" s="104">
        <v>0.00047366098758412623</v>
      </c>
      <c r="E737" s="104">
        <v>3.616685520895512</v>
      </c>
      <c r="F737" s="80" t="s">
        <v>3370</v>
      </c>
      <c r="G737" s="80" t="b">
        <v>0</v>
      </c>
      <c r="H737" s="80" t="b">
        <v>0</v>
      </c>
      <c r="I737" s="80" t="b">
        <v>0</v>
      </c>
      <c r="J737" s="80" t="b">
        <v>0</v>
      </c>
      <c r="K737" s="80" t="b">
        <v>0</v>
      </c>
      <c r="L737" s="80" t="b">
        <v>0</v>
      </c>
    </row>
    <row r="738" spans="1:12" ht="15">
      <c r="A738" s="81" t="s">
        <v>2896</v>
      </c>
      <c r="B738" s="80" t="s">
        <v>2884</v>
      </c>
      <c r="C738" s="80">
        <v>2</v>
      </c>
      <c r="D738" s="104">
        <v>0.00047366098758412623</v>
      </c>
      <c r="E738" s="104">
        <v>3.616685520895512</v>
      </c>
      <c r="F738" s="80" t="s">
        <v>3370</v>
      </c>
      <c r="G738" s="80" t="b">
        <v>0</v>
      </c>
      <c r="H738" s="80" t="b">
        <v>0</v>
      </c>
      <c r="I738" s="80" t="b">
        <v>0</v>
      </c>
      <c r="J738" s="80" t="b">
        <v>0</v>
      </c>
      <c r="K738" s="80" t="b">
        <v>0</v>
      </c>
      <c r="L738" s="80" t="b">
        <v>0</v>
      </c>
    </row>
    <row r="739" spans="1:12" ht="15">
      <c r="A739" s="81" t="s">
        <v>3341</v>
      </c>
      <c r="B739" s="80" t="s">
        <v>2223</v>
      </c>
      <c r="C739" s="80">
        <v>2</v>
      </c>
      <c r="D739" s="104">
        <v>0.00047366098758412623</v>
      </c>
      <c r="E739" s="104">
        <v>2.210145340461557</v>
      </c>
      <c r="F739" s="80" t="s">
        <v>3370</v>
      </c>
      <c r="G739" s="80" t="b">
        <v>0</v>
      </c>
      <c r="H739" s="80" t="b">
        <v>0</v>
      </c>
      <c r="I739" s="80" t="b">
        <v>0</v>
      </c>
      <c r="J739" s="80" t="b">
        <v>0</v>
      </c>
      <c r="K739" s="80" t="b">
        <v>0</v>
      </c>
      <c r="L739" s="80" t="b">
        <v>0</v>
      </c>
    </row>
    <row r="740" spans="1:12" ht="15">
      <c r="A740" s="81" t="s">
        <v>2565</v>
      </c>
      <c r="B740" s="80" t="s">
        <v>2298</v>
      </c>
      <c r="C740" s="80">
        <v>2</v>
      </c>
      <c r="D740" s="104">
        <v>0.00047366098758412623</v>
      </c>
      <c r="E740" s="104">
        <v>2.373647472209218</v>
      </c>
      <c r="F740" s="80" t="s">
        <v>3370</v>
      </c>
      <c r="G740" s="80" t="b">
        <v>0</v>
      </c>
      <c r="H740" s="80" t="b">
        <v>0</v>
      </c>
      <c r="I740" s="80" t="b">
        <v>0</v>
      </c>
      <c r="J740" s="80" t="b">
        <v>0</v>
      </c>
      <c r="K740" s="80" t="b">
        <v>0</v>
      </c>
      <c r="L740" s="80" t="b">
        <v>0</v>
      </c>
    </row>
    <row r="741" spans="1:12" ht="15">
      <c r="A741" s="81" t="s">
        <v>2579</v>
      </c>
      <c r="B741" s="80" t="s">
        <v>3357</v>
      </c>
      <c r="C741" s="80">
        <v>2</v>
      </c>
      <c r="D741" s="104">
        <v>0.00040173028372176515</v>
      </c>
      <c r="E741" s="104">
        <v>3.315655525231531</v>
      </c>
      <c r="F741" s="80" t="s">
        <v>3370</v>
      </c>
      <c r="G741" s="80" t="b">
        <v>0</v>
      </c>
      <c r="H741" s="80" t="b">
        <v>0</v>
      </c>
      <c r="I741" s="80" t="b">
        <v>0</v>
      </c>
      <c r="J741" s="80" t="b">
        <v>0</v>
      </c>
      <c r="K741" s="80" t="b">
        <v>0</v>
      </c>
      <c r="L741" s="80" t="b">
        <v>0</v>
      </c>
    </row>
    <row r="742" spans="1:12" ht="15">
      <c r="A742" s="81" t="s">
        <v>2309</v>
      </c>
      <c r="B742" s="80" t="s">
        <v>3227</v>
      </c>
      <c r="C742" s="80">
        <v>2</v>
      </c>
      <c r="D742" s="104">
        <v>0.00047366098758412623</v>
      </c>
      <c r="E742" s="104">
        <v>2.8037721642526567</v>
      </c>
      <c r="F742" s="80" t="s">
        <v>3370</v>
      </c>
      <c r="G742" s="80" t="b">
        <v>0</v>
      </c>
      <c r="H742" s="80" t="b">
        <v>0</v>
      </c>
      <c r="I742" s="80" t="b">
        <v>0</v>
      </c>
      <c r="J742" s="80" t="b">
        <v>0</v>
      </c>
      <c r="K742" s="80" t="b">
        <v>0</v>
      </c>
      <c r="L742" s="80" t="b">
        <v>0</v>
      </c>
    </row>
    <row r="743" spans="1:12" ht="15">
      <c r="A743" s="81" t="s">
        <v>2483</v>
      </c>
      <c r="B743" s="80" t="s">
        <v>2981</v>
      </c>
      <c r="C743" s="80">
        <v>2</v>
      </c>
      <c r="D743" s="104">
        <v>0.00040173028372176515</v>
      </c>
      <c r="E743" s="104">
        <v>3.2187455122234745</v>
      </c>
      <c r="F743" s="80" t="s">
        <v>3370</v>
      </c>
      <c r="G743" s="80" t="b">
        <v>0</v>
      </c>
      <c r="H743" s="80" t="b">
        <v>0</v>
      </c>
      <c r="I743" s="80" t="b">
        <v>0</v>
      </c>
      <c r="J743" s="80" t="b">
        <v>0</v>
      </c>
      <c r="K743" s="80" t="b">
        <v>0</v>
      </c>
      <c r="L743" s="80" t="b">
        <v>0</v>
      </c>
    </row>
    <row r="744" spans="1:12" ht="15">
      <c r="A744" s="81" t="s">
        <v>3296</v>
      </c>
      <c r="B744" s="80" t="s">
        <v>2797</v>
      </c>
      <c r="C744" s="80">
        <v>2</v>
      </c>
      <c r="D744" s="104">
        <v>0.00047366098758412623</v>
      </c>
      <c r="E744" s="104">
        <v>3.440594261839831</v>
      </c>
      <c r="F744" s="80" t="s">
        <v>3370</v>
      </c>
      <c r="G744" s="80" t="b">
        <v>0</v>
      </c>
      <c r="H744" s="80" t="b">
        <v>0</v>
      </c>
      <c r="I744" s="80" t="b">
        <v>0</v>
      </c>
      <c r="J744" s="80" t="b">
        <v>0</v>
      </c>
      <c r="K744" s="80" t="b">
        <v>0</v>
      </c>
      <c r="L744" s="80" t="b">
        <v>0</v>
      </c>
    </row>
    <row r="745" spans="1:12" ht="15">
      <c r="A745" s="81" t="s">
        <v>2215</v>
      </c>
      <c r="B745" s="80" t="s">
        <v>2338</v>
      </c>
      <c r="C745" s="80">
        <v>2</v>
      </c>
      <c r="D745" s="104">
        <v>0.00047366098758412623</v>
      </c>
      <c r="E745" s="104">
        <v>1.218311434744156</v>
      </c>
      <c r="F745" s="80" t="s">
        <v>3370</v>
      </c>
      <c r="G745" s="80" t="b">
        <v>0</v>
      </c>
      <c r="H745" s="80" t="b">
        <v>0</v>
      </c>
      <c r="I745" s="80" t="b">
        <v>0</v>
      </c>
      <c r="J745" s="80" t="b">
        <v>0</v>
      </c>
      <c r="K745" s="80" t="b">
        <v>0</v>
      </c>
      <c r="L745" s="80" t="b">
        <v>0</v>
      </c>
    </row>
    <row r="746" spans="1:12" ht="15">
      <c r="A746" s="81" t="s">
        <v>2597</v>
      </c>
      <c r="B746" s="80" t="s">
        <v>3171</v>
      </c>
      <c r="C746" s="80">
        <v>2</v>
      </c>
      <c r="D746" s="104">
        <v>0.00040173028372176515</v>
      </c>
      <c r="E746" s="104">
        <v>3.315655525231531</v>
      </c>
      <c r="F746" s="80" t="s">
        <v>3370</v>
      </c>
      <c r="G746" s="80" t="b">
        <v>0</v>
      </c>
      <c r="H746" s="80" t="b">
        <v>0</v>
      </c>
      <c r="I746" s="80" t="b">
        <v>0</v>
      </c>
      <c r="J746" s="80" t="b">
        <v>0</v>
      </c>
      <c r="K746" s="80" t="b">
        <v>0</v>
      </c>
      <c r="L746" s="80" t="b">
        <v>0</v>
      </c>
    </row>
    <row r="747" spans="1:12" ht="15">
      <c r="A747" s="81" t="s">
        <v>2277</v>
      </c>
      <c r="B747" s="80" t="s">
        <v>2904</v>
      </c>
      <c r="C747" s="80">
        <v>2</v>
      </c>
      <c r="D747" s="104">
        <v>0.00040173028372176515</v>
      </c>
      <c r="E747" s="104">
        <v>2.7135955339035687</v>
      </c>
      <c r="F747" s="80" t="s">
        <v>3370</v>
      </c>
      <c r="G747" s="80" t="b">
        <v>0</v>
      </c>
      <c r="H747" s="80" t="b">
        <v>0</v>
      </c>
      <c r="I747" s="80" t="b">
        <v>0</v>
      </c>
      <c r="J747" s="80" t="b">
        <v>0</v>
      </c>
      <c r="K747" s="80" t="b">
        <v>0</v>
      </c>
      <c r="L747" s="80" t="b">
        <v>0</v>
      </c>
    </row>
    <row r="748" spans="1:12" ht="15">
      <c r="A748" s="81" t="s">
        <v>2246</v>
      </c>
      <c r="B748" s="80" t="s">
        <v>2764</v>
      </c>
      <c r="C748" s="80">
        <v>2</v>
      </c>
      <c r="D748" s="104">
        <v>0.00040173028372176515</v>
      </c>
      <c r="E748" s="104">
        <v>2.361413015792206</v>
      </c>
      <c r="F748" s="80" t="s">
        <v>3370</v>
      </c>
      <c r="G748" s="80" t="b">
        <v>0</v>
      </c>
      <c r="H748" s="80" t="b">
        <v>0</v>
      </c>
      <c r="I748" s="80" t="b">
        <v>0</v>
      </c>
      <c r="J748" s="80" t="b">
        <v>0</v>
      </c>
      <c r="K748" s="80" t="b">
        <v>0</v>
      </c>
      <c r="L748" s="80" t="b">
        <v>0</v>
      </c>
    </row>
    <row r="749" spans="1:12" ht="15">
      <c r="A749" s="81" t="s">
        <v>2480</v>
      </c>
      <c r="B749" s="80" t="s">
        <v>2315</v>
      </c>
      <c r="C749" s="80">
        <v>2</v>
      </c>
      <c r="D749" s="104">
        <v>0.00040173028372176515</v>
      </c>
      <c r="E749" s="104">
        <v>2.4058321555806192</v>
      </c>
      <c r="F749" s="80" t="s">
        <v>3370</v>
      </c>
      <c r="G749" s="80" t="b">
        <v>0</v>
      </c>
      <c r="H749" s="80" t="b">
        <v>0</v>
      </c>
      <c r="I749" s="80" t="b">
        <v>0</v>
      </c>
      <c r="J749" s="80" t="b">
        <v>0</v>
      </c>
      <c r="K749" s="80" t="b">
        <v>0</v>
      </c>
      <c r="L749" s="80" t="b">
        <v>0</v>
      </c>
    </row>
    <row r="750" spans="1:12" ht="15">
      <c r="A750" s="81" t="s">
        <v>2776</v>
      </c>
      <c r="B750" s="80" t="s">
        <v>2789</v>
      </c>
      <c r="C750" s="80">
        <v>2</v>
      </c>
      <c r="D750" s="104">
        <v>0.00047366098758412623</v>
      </c>
      <c r="E750" s="104">
        <v>3.2645030027841497</v>
      </c>
      <c r="F750" s="80" t="s">
        <v>3370</v>
      </c>
      <c r="G750" s="80" t="b">
        <v>1</v>
      </c>
      <c r="H750" s="80" t="b">
        <v>0</v>
      </c>
      <c r="I750" s="80" t="b">
        <v>0</v>
      </c>
      <c r="J750" s="80" t="b">
        <v>0</v>
      </c>
      <c r="K750" s="80" t="b">
        <v>0</v>
      </c>
      <c r="L750" s="80" t="b">
        <v>0</v>
      </c>
    </row>
    <row r="751" spans="1:12" ht="15">
      <c r="A751" s="81" t="s">
        <v>2307</v>
      </c>
      <c r="B751" s="80" t="s">
        <v>2410</v>
      </c>
      <c r="C751" s="80">
        <v>2</v>
      </c>
      <c r="D751" s="104">
        <v>0.00040173028372176515</v>
      </c>
      <c r="E751" s="104">
        <v>2.259704119902381</v>
      </c>
      <c r="F751" s="80" t="s">
        <v>3370</v>
      </c>
      <c r="G751" s="80" t="b">
        <v>0</v>
      </c>
      <c r="H751" s="80" t="b">
        <v>0</v>
      </c>
      <c r="I751" s="80" t="b">
        <v>0</v>
      </c>
      <c r="J751" s="80" t="b">
        <v>0</v>
      </c>
      <c r="K751" s="80" t="b">
        <v>0</v>
      </c>
      <c r="L751" s="80" t="b">
        <v>0</v>
      </c>
    </row>
    <row r="752" spans="1:12" ht="15">
      <c r="A752" s="81" t="s">
        <v>2232</v>
      </c>
      <c r="B752" s="80" t="s">
        <v>2412</v>
      </c>
      <c r="C752" s="80">
        <v>2</v>
      </c>
      <c r="D752" s="104">
        <v>0.00040173028372176515</v>
      </c>
      <c r="E752" s="104">
        <v>1.8551335323313303</v>
      </c>
      <c r="F752" s="80" t="s">
        <v>3370</v>
      </c>
      <c r="G752" s="80" t="b">
        <v>0</v>
      </c>
      <c r="H752" s="80" t="b">
        <v>0</v>
      </c>
      <c r="I752" s="80" t="b">
        <v>0</v>
      </c>
      <c r="J752" s="80" t="b">
        <v>0</v>
      </c>
      <c r="K752" s="80" t="b">
        <v>0</v>
      </c>
      <c r="L752" s="80" t="b">
        <v>0</v>
      </c>
    </row>
    <row r="753" spans="1:12" ht="15">
      <c r="A753" s="81" t="s">
        <v>3090</v>
      </c>
      <c r="B753" s="80" t="s">
        <v>2224</v>
      </c>
      <c r="C753" s="80">
        <v>2</v>
      </c>
      <c r="D753" s="104">
        <v>0.00040173028372176515</v>
      </c>
      <c r="E753" s="104">
        <v>2.2187455122234745</v>
      </c>
      <c r="F753" s="80" t="s">
        <v>3370</v>
      </c>
      <c r="G753" s="80" t="b">
        <v>0</v>
      </c>
      <c r="H753" s="80" t="b">
        <v>0</v>
      </c>
      <c r="I753" s="80" t="b">
        <v>0</v>
      </c>
      <c r="J753" s="80" t="b">
        <v>0</v>
      </c>
      <c r="K753" s="80" t="b">
        <v>0</v>
      </c>
      <c r="L753" s="80" t="b">
        <v>0</v>
      </c>
    </row>
    <row r="754" spans="1:12" ht="15">
      <c r="A754" s="81" t="s">
        <v>2822</v>
      </c>
      <c r="B754" s="80" t="s">
        <v>2284</v>
      </c>
      <c r="C754" s="80">
        <v>2</v>
      </c>
      <c r="D754" s="104">
        <v>0.00040173028372176515</v>
      </c>
      <c r="E754" s="104">
        <v>2.565532998448131</v>
      </c>
      <c r="F754" s="80" t="s">
        <v>3370</v>
      </c>
      <c r="G754" s="80" t="b">
        <v>0</v>
      </c>
      <c r="H754" s="80" t="b">
        <v>0</v>
      </c>
      <c r="I754" s="80" t="b">
        <v>0</v>
      </c>
      <c r="J754" s="80" t="b">
        <v>0</v>
      </c>
      <c r="K754" s="80" t="b">
        <v>0</v>
      </c>
      <c r="L754" s="80" t="b">
        <v>0</v>
      </c>
    </row>
    <row r="755" spans="1:12" ht="15">
      <c r="A755" s="81" t="s">
        <v>2425</v>
      </c>
      <c r="B755" s="80" t="s">
        <v>2237</v>
      </c>
      <c r="C755" s="80">
        <v>2</v>
      </c>
      <c r="D755" s="104">
        <v>0.00040173028372176515</v>
      </c>
      <c r="E755" s="104">
        <v>1.8965262174895554</v>
      </c>
      <c r="F755" s="80" t="s">
        <v>3370</v>
      </c>
      <c r="G755" s="80" t="b">
        <v>0</v>
      </c>
      <c r="H755" s="80" t="b">
        <v>0</v>
      </c>
      <c r="I755" s="80" t="b">
        <v>0</v>
      </c>
      <c r="J755" s="80" t="b">
        <v>0</v>
      </c>
      <c r="K755" s="80" t="b">
        <v>0</v>
      </c>
      <c r="L755" s="80" t="b">
        <v>0</v>
      </c>
    </row>
    <row r="756" spans="1:12" ht="15">
      <c r="A756" s="81" t="s">
        <v>2409</v>
      </c>
      <c r="B756" s="80" t="s">
        <v>2424</v>
      </c>
      <c r="C756" s="80">
        <v>2</v>
      </c>
      <c r="D756" s="104">
        <v>0.00047366098758412623</v>
      </c>
      <c r="E756" s="104">
        <v>2.528549432194961</v>
      </c>
      <c r="F756" s="80" t="s">
        <v>3370</v>
      </c>
      <c r="G756" s="80" t="b">
        <v>0</v>
      </c>
      <c r="H756" s="80" t="b">
        <v>0</v>
      </c>
      <c r="I756" s="80" t="b">
        <v>0</v>
      </c>
      <c r="J756" s="80" t="b">
        <v>0</v>
      </c>
      <c r="K756" s="80" t="b">
        <v>0</v>
      </c>
      <c r="L756" s="80" t="b">
        <v>0</v>
      </c>
    </row>
    <row r="757" spans="1:12" ht="15">
      <c r="A757" s="81" t="s">
        <v>2276</v>
      </c>
      <c r="B757" s="80" t="s">
        <v>2246</v>
      </c>
      <c r="C757" s="80">
        <v>2</v>
      </c>
      <c r="D757" s="104">
        <v>0.00040173028372176515</v>
      </c>
      <c r="E757" s="104">
        <v>1.6166855208955122</v>
      </c>
      <c r="F757" s="80" t="s">
        <v>3370</v>
      </c>
      <c r="G757" s="80" t="b">
        <v>0</v>
      </c>
      <c r="H757" s="80" t="b">
        <v>0</v>
      </c>
      <c r="I757" s="80" t="b">
        <v>0</v>
      </c>
      <c r="J757" s="80" t="b">
        <v>0</v>
      </c>
      <c r="K757" s="80" t="b">
        <v>0</v>
      </c>
      <c r="L757" s="80" t="b">
        <v>0</v>
      </c>
    </row>
    <row r="758" spans="1:12" ht="15">
      <c r="A758" s="81" t="s">
        <v>2220</v>
      </c>
      <c r="B758" s="80" t="s">
        <v>2273</v>
      </c>
      <c r="C758" s="80">
        <v>2</v>
      </c>
      <c r="D758" s="104">
        <v>0.00040173028372176515</v>
      </c>
      <c r="E758" s="104">
        <v>1.2248685972822635</v>
      </c>
      <c r="F758" s="80" t="s">
        <v>3370</v>
      </c>
      <c r="G758" s="80" t="b">
        <v>0</v>
      </c>
      <c r="H758" s="80" t="b">
        <v>0</v>
      </c>
      <c r="I758" s="80" t="b">
        <v>0</v>
      </c>
      <c r="J758" s="80" t="b">
        <v>1</v>
      </c>
      <c r="K758" s="80" t="b">
        <v>0</v>
      </c>
      <c r="L758" s="80" t="b">
        <v>0</v>
      </c>
    </row>
    <row r="759" spans="1:12" ht="15">
      <c r="A759" s="81" t="s">
        <v>3336</v>
      </c>
      <c r="B759" s="80" t="s">
        <v>3330</v>
      </c>
      <c r="C759" s="80">
        <v>2</v>
      </c>
      <c r="D759" s="104">
        <v>0.00047366098758412623</v>
      </c>
      <c r="E759" s="104">
        <v>3.616685520895512</v>
      </c>
      <c r="F759" s="80" t="s">
        <v>3370</v>
      </c>
      <c r="G759" s="80" t="b">
        <v>0</v>
      </c>
      <c r="H759" s="80" t="b">
        <v>0</v>
      </c>
      <c r="I759" s="80" t="b">
        <v>0</v>
      </c>
      <c r="J759" s="80" t="b">
        <v>0</v>
      </c>
      <c r="K759" s="80" t="b">
        <v>0</v>
      </c>
      <c r="L759" s="80" t="b">
        <v>0</v>
      </c>
    </row>
    <row r="760" spans="1:12" ht="15">
      <c r="A760" s="81" t="s">
        <v>2873</v>
      </c>
      <c r="B760" s="80" t="s">
        <v>2384</v>
      </c>
      <c r="C760" s="80">
        <v>2</v>
      </c>
      <c r="D760" s="104">
        <v>0.00040173028372176515</v>
      </c>
      <c r="E760" s="104">
        <v>2.8385342705118686</v>
      </c>
      <c r="F760" s="80" t="s">
        <v>3370</v>
      </c>
      <c r="G760" s="80" t="b">
        <v>0</v>
      </c>
      <c r="H760" s="80" t="b">
        <v>0</v>
      </c>
      <c r="I760" s="80" t="b">
        <v>0</v>
      </c>
      <c r="J760" s="80" t="b">
        <v>0</v>
      </c>
      <c r="K760" s="80" t="b">
        <v>0</v>
      </c>
      <c r="L760" s="80" t="b">
        <v>0</v>
      </c>
    </row>
    <row r="761" spans="1:12" ht="15">
      <c r="A761" s="81" t="s">
        <v>2253</v>
      </c>
      <c r="B761" s="80" t="s">
        <v>2414</v>
      </c>
      <c r="C761" s="80">
        <v>2</v>
      </c>
      <c r="D761" s="104">
        <v>0.00040173028372176515</v>
      </c>
      <c r="E761" s="104">
        <v>2.0312247913870114</v>
      </c>
      <c r="F761" s="80" t="s">
        <v>3370</v>
      </c>
      <c r="G761" s="80" t="b">
        <v>0</v>
      </c>
      <c r="H761" s="80" t="b">
        <v>0</v>
      </c>
      <c r="I761" s="80" t="b">
        <v>0</v>
      </c>
      <c r="J761" s="80" t="b">
        <v>0</v>
      </c>
      <c r="K761" s="80" t="b">
        <v>0</v>
      </c>
      <c r="L761" s="80" t="b">
        <v>0</v>
      </c>
    </row>
    <row r="762" spans="1:12" ht="15">
      <c r="A762" s="81" t="s">
        <v>2278</v>
      </c>
      <c r="B762" s="80" t="s">
        <v>3060</v>
      </c>
      <c r="C762" s="80">
        <v>2</v>
      </c>
      <c r="D762" s="104">
        <v>0.00040173028372176515</v>
      </c>
      <c r="E762" s="104">
        <v>2.7135955339035687</v>
      </c>
      <c r="F762" s="80" t="s">
        <v>3370</v>
      </c>
      <c r="G762" s="80" t="b">
        <v>0</v>
      </c>
      <c r="H762" s="80" t="b">
        <v>0</v>
      </c>
      <c r="I762" s="80" t="b">
        <v>0</v>
      </c>
      <c r="J762" s="80" t="b">
        <v>0</v>
      </c>
      <c r="K762" s="80" t="b">
        <v>0</v>
      </c>
      <c r="L762" s="80" t="b">
        <v>0</v>
      </c>
    </row>
    <row r="763" spans="1:12" ht="15">
      <c r="A763" s="81" t="s">
        <v>2335</v>
      </c>
      <c r="B763" s="80" t="s">
        <v>2227</v>
      </c>
      <c r="C763" s="80">
        <v>2</v>
      </c>
      <c r="D763" s="104">
        <v>0.00047366098758412623</v>
      </c>
      <c r="E763" s="104">
        <v>1.533900150579062</v>
      </c>
      <c r="F763" s="80" t="s">
        <v>3370</v>
      </c>
      <c r="G763" s="80" t="b">
        <v>0</v>
      </c>
      <c r="H763" s="80" t="b">
        <v>0</v>
      </c>
      <c r="I763" s="80" t="b">
        <v>0</v>
      </c>
      <c r="J763" s="80" t="b">
        <v>0</v>
      </c>
      <c r="K763" s="80" t="b">
        <v>0</v>
      </c>
      <c r="L763" s="80" t="b">
        <v>0</v>
      </c>
    </row>
    <row r="764" spans="1:12" ht="15">
      <c r="A764" s="81" t="s">
        <v>2321</v>
      </c>
      <c r="B764" s="80" t="s">
        <v>2371</v>
      </c>
      <c r="C764" s="80">
        <v>2</v>
      </c>
      <c r="D764" s="104">
        <v>0.00040173028372176515</v>
      </c>
      <c r="E764" s="104">
        <v>2.236474279183906</v>
      </c>
      <c r="F764" s="80" t="s">
        <v>3370</v>
      </c>
      <c r="G764" s="80" t="b">
        <v>0</v>
      </c>
      <c r="H764" s="80" t="b">
        <v>0</v>
      </c>
      <c r="I764" s="80" t="b">
        <v>0</v>
      </c>
      <c r="J764" s="80" t="b">
        <v>0</v>
      </c>
      <c r="K764" s="80" t="b">
        <v>0</v>
      </c>
      <c r="L764" s="80" t="b">
        <v>0</v>
      </c>
    </row>
    <row r="765" spans="1:12" ht="15">
      <c r="A765" s="81" t="s">
        <v>2268</v>
      </c>
      <c r="B765" s="80" t="s">
        <v>2285</v>
      </c>
      <c r="C765" s="80">
        <v>2</v>
      </c>
      <c r="D765" s="104">
        <v>0.00040173028372176515</v>
      </c>
      <c r="E765" s="104">
        <v>1.8122053317895195</v>
      </c>
      <c r="F765" s="80" t="s">
        <v>3370</v>
      </c>
      <c r="G765" s="80" t="b">
        <v>0</v>
      </c>
      <c r="H765" s="80" t="b">
        <v>0</v>
      </c>
      <c r="I765" s="80" t="b">
        <v>0</v>
      </c>
      <c r="J765" s="80" t="b">
        <v>0</v>
      </c>
      <c r="K765" s="80" t="b">
        <v>0</v>
      </c>
      <c r="L765" s="80" t="b">
        <v>0</v>
      </c>
    </row>
    <row r="766" spans="1:12" ht="15">
      <c r="A766" s="81" t="s">
        <v>2928</v>
      </c>
      <c r="B766" s="80" t="s">
        <v>2972</v>
      </c>
      <c r="C766" s="80">
        <v>2</v>
      </c>
      <c r="D766" s="104">
        <v>0.00040173028372176515</v>
      </c>
      <c r="E766" s="104">
        <v>3.616685520895512</v>
      </c>
      <c r="F766" s="80" t="s">
        <v>3370</v>
      </c>
      <c r="G766" s="80" t="b">
        <v>0</v>
      </c>
      <c r="H766" s="80" t="b">
        <v>0</v>
      </c>
      <c r="I766" s="80" t="b">
        <v>0</v>
      </c>
      <c r="J766" s="80" t="b">
        <v>0</v>
      </c>
      <c r="K766" s="80" t="b">
        <v>0</v>
      </c>
      <c r="L766" s="80" t="b">
        <v>0</v>
      </c>
    </row>
    <row r="767" spans="1:12" ht="15">
      <c r="A767" s="81" t="s">
        <v>3162</v>
      </c>
      <c r="B767" s="80" t="s">
        <v>3156</v>
      </c>
      <c r="C767" s="80">
        <v>2</v>
      </c>
      <c r="D767" s="104">
        <v>0.00040173028372176515</v>
      </c>
      <c r="E767" s="104">
        <v>3.616685520895512</v>
      </c>
      <c r="F767" s="80" t="s">
        <v>3370</v>
      </c>
      <c r="G767" s="80" t="b">
        <v>0</v>
      </c>
      <c r="H767" s="80" t="b">
        <v>0</v>
      </c>
      <c r="I767" s="80" t="b">
        <v>0</v>
      </c>
      <c r="J767" s="80" t="b">
        <v>0</v>
      </c>
      <c r="K767" s="80" t="b">
        <v>0</v>
      </c>
      <c r="L767" s="80" t="b">
        <v>0</v>
      </c>
    </row>
    <row r="768" spans="1:12" ht="15">
      <c r="A768" s="81" t="s">
        <v>2317</v>
      </c>
      <c r="B768" s="80" t="s">
        <v>2229</v>
      </c>
      <c r="C768" s="80">
        <v>2</v>
      </c>
      <c r="D768" s="104">
        <v>0.00040173028372176515</v>
      </c>
      <c r="E768" s="104">
        <v>1.4920183031969023</v>
      </c>
      <c r="F768" s="80" t="s">
        <v>3370</v>
      </c>
      <c r="G768" s="80" t="b">
        <v>0</v>
      </c>
      <c r="H768" s="80" t="b">
        <v>0</v>
      </c>
      <c r="I768" s="80" t="b">
        <v>0</v>
      </c>
      <c r="J768" s="80" t="b">
        <v>0</v>
      </c>
      <c r="K768" s="80" t="b">
        <v>0</v>
      </c>
      <c r="L768" s="80" t="b">
        <v>0</v>
      </c>
    </row>
    <row r="769" spans="1:12" ht="15">
      <c r="A769" s="81" t="s">
        <v>3085</v>
      </c>
      <c r="B769" s="80" t="s">
        <v>3098</v>
      </c>
      <c r="C769" s="80">
        <v>2</v>
      </c>
      <c r="D769" s="104">
        <v>0.00047366098758412623</v>
      </c>
      <c r="E769" s="104">
        <v>3.616685520895512</v>
      </c>
      <c r="F769" s="80" t="s">
        <v>3370</v>
      </c>
      <c r="G769" s="80" t="b">
        <v>0</v>
      </c>
      <c r="H769" s="80" t="b">
        <v>0</v>
      </c>
      <c r="I769" s="80" t="b">
        <v>0</v>
      </c>
      <c r="J769" s="80" t="b">
        <v>0</v>
      </c>
      <c r="K769" s="80" t="b">
        <v>0</v>
      </c>
      <c r="L769" s="80" t="b">
        <v>0</v>
      </c>
    </row>
    <row r="770" spans="1:12" ht="15">
      <c r="A770" s="81" t="s">
        <v>2330</v>
      </c>
      <c r="B770" s="80" t="s">
        <v>2214</v>
      </c>
      <c r="C770" s="80">
        <v>2</v>
      </c>
      <c r="D770" s="104">
        <v>0.00040173028372176515</v>
      </c>
      <c r="E770" s="104">
        <v>1.1204479757287769</v>
      </c>
      <c r="F770" s="80" t="s">
        <v>3370</v>
      </c>
      <c r="G770" s="80" t="b">
        <v>0</v>
      </c>
      <c r="H770" s="80" t="b">
        <v>0</v>
      </c>
      <c r="I770" s="80" t="b">
        <v>0</v>
      </c>
      <c r="J770" s="80" t="b">
        <v>0</v>
      </c>
      <c r="K770" s="80" t="b">
        <v>0</v>
      </c>
      <c r="L770" s="80" t="b">
        <v>0</v>
      </c>
    </row>
    <row r="771" spans="1:12" ht="15">
      <c r="A771" s="81" t="s">
        <v>2320</v>
      </c>
      <c r="B771" s="80" t="s">
        <v>2283</v>
      </c>
      <c r="C771" s="80">
        <v>2</v>
      </c>
      <c r="D771" s="104">
        <v>0.00040173028372176515</v>
      </c>
      <c r="E771" s="104">
        <v>1.9287109008609566</v>
      </c>
      <c r="F771" s="80" t="s">
        <v>3370</v>
      </c>
      <c r="G771" s="80" t="b">
        <v>0</v>
      </c>
      <c r="H771" s="80" t="b">
        <v>0</v>
      </c>
      <c r="I771" s="80" t="b">
        <v>0</v>
      </c>
      <c r="J771" s="80" t="b">
        <v>0</v>
      </c>
      <c r="K771" s="80" t="b">
        <v>0</v>
      </c>
      <c r="L771" s="80" t="b">
        <v>0</v>
      </c>
    </row>
    <row r="772" spans="1:12" ht="15">
      <c r="A772" s="81" t="s">
        <v>3254</v>
      </c>
      <c r="B772" s="80" t="s">
        <v>2928</v>
      </c>
      <c r="C772" s="80">
        <v>2</v>
      </c>
      <c r="D772" s="104">
        <v>0.00040173028372176515</v>
      </c>
      <c r="E772" s="104">
        <v>3.616685520895512</v>
      </c>
      <c r="F772" s="80" t="s">
        <v>3370</v>
      </c>
      <c r="G772" s="80" t="b">
        <v>0</v>
      </c>
      <c r="H772" s="80" t="b">
        <v>0</v>
      </c>
      <c r="I772" s="80" t="b">
        <v>0</v>
      </c>
      <c r="J772" s="80" t="b">
        <v>0</v>
      </c>
      <c r="K772" s="80" t="b">
        <v>0</v>
      </c>
      <c r="L772" s="80" t="b">
        <v>0</v>
      </c>
    </row>
    <row r="773" spans="1:12" ht="15">
      <c r="A773" s="81" t="s">
        <v>2887</v>
      </c>
      <c r="B773" s="80" t="s">
        <v>2217</v>
      </c>
      <c r="C773" s="80">
        <v>2</v>
      </c>
      <c r="D773" s="104">
        <v>0.00047366098758412623</v>
      </c>
      <c r="E773" s="104">
        <v>2.085206603853257</v>
      </c>
      <c r="F773" s="80" t="s">
        <v>3370</v>
      </c>
      <c r="G773" s="80" t="b">
        <v>0</v>
      </c>
      <c r="H773" s="80" t="b">
        <v>0</v>
      </c>
      <c r="I773" s="80" t="b">
        <v>0</v>
      </c>
      <c r="J773" s="80" t="b">
        <v>0</v>
      </c>
      <c r="K773" s="80" t="b">
        <v>0</v>
      </c>
      <c r="L773" s="80" t="b">
        <v>0</v>
      </c>
    </row>
    <row r="774" spans="1:12" ht="15">
      <c r="A774" s="81" t="s">
        <v>2378</v>
      </c>
      <c r="B774" s="80" t="s">
        <v>3054</v>
      </c>
      <c r="C774" s="80">
        <v>2</v>
      </c>
      <c r="D774" s="104">
        <v>0.00040173028372176515</v>
      </c>
      <c r="E774" s="104">
        <v>3.01462552956755</v>
      </c>
      <c r="F774" s="80" t="s">
        <v>3370</v>
      </c>
      <c r="G774" s="80" t="b">
        <v>0</v>
      </c>
      <c r="H774" s="80" t="b">
        <v>1</v>
      </c>
      <c r="I774" s="80" t="b">
        <v>0</v>
      </c>
      <c r="J774" s="80" t="b">
        <v>0</v>
      </c>
      <c r="K774" s="80" t="b">
        <v>0</v>
      </c>
      <c r="L774" s="80" t="b">
        <v>0</v>
      </c>
    </row>
    <row r="775" spans="1:12" ht="15">
      <c r="A775" s="81" t="s">
        <v>2246</v>
      </c>
      <c r="B775" s="80" t="s">
        <v>2221</v>
      </c>
      <c r="C775" s="80">
        <v>2</v>
      </c>
      <c r="D775" s="104">
        <v>0.00040173028372176515</v>
      </c>
      <c r="E775" s="104">
        <v>1.1142584009110796</v>
      </c>
      <c r="F775" s="80" t="s">
        <v>3370</v>
      </c>
      <c r="G775" s="80" t="b">
        <v>0</v>
      </c>
      <c r="H775" s="80" t="b">
        <v>0</v>
      </c>
      <c r="I775" s="80" t="b">
        <v>0</v>
      </c>
      <c r="J775" s="80" t="b">
        <v>0</v>
      </c>
      <c r="K775" s="80" t="b">
        <v>0</v>
      </c>
      <c r="L775" s="80" t="b">
        <v>0</v>
      </c>
    </row>
    <row r="776" spans="1:12" ht="15">
      <c r="A776" s="81" t="s">
        <v>2217</v>
      </c>
      <c r="B776" s="80" t="s">
        <v>2549</v>
      </c>
      <c r="C776" s="80">
        <v>2</v>
      </c>
      <c r="D776" s="104">
        <v>0.00040173028372176515</v>
      </c>
      <c r="E776" s="104">
        <v>1.7068621512446003</v>
      </c>
      <c r="F776" s="80" t="s">
        <v>3370</v>
      </c>
      <c r="G776" s="80" t="b">
        <v>0</v>
      </c>
      <c r="H776" s="80" t="b">
        <v>0</v>
      </c>
      <c r="I776" s="80" t="b">
        <v>0</v>
      </c>
      <c r="J776" s="80" t="b">
        <v>1</v>
      </c>
      <c r="K776" s="80" t="b">
        <v>0</v>
      </c>
      <c r="L776" s="80" t="b">
        <v>0</v>
      </c>
    </row>
    <row r="777" spans="1:12" ht="15">
      <c r="A777" s="81" t="s">
        <v>2479</v>
      </c>
      <c r="B777" s="80" t="s">
        <v>3242</v>
      </c>
      <c r="C777" s="80">
        <v>2</v>
      </c>
      <c r="D777" s="104">
        <v>0.00047366098758412623</v>
      </c>
      <c r="E777" s="104">
        <v>3.13956426617585</v>
      </c>
      <c r="F777" s="80" t="s">
        <v>3370</v>
      </c>
      <c r="G777" s="80" t="b">
        <v>0</v>
      </c>
      <c r="H777" s="80" t="b">
        <v>0</v>
      </c>
      <c r="I777" s="80" t="b">
        <v>0</v>
      </c>
      <c r="J777" s="80" t="b">
        <v>0</v>
      </c>
      <c r="K777" s="80" t="b">
        <v>0</v>
      </c>
      <c r="L777" s="80" t="b">
        <v>0</v>
      </c>
    </row>
    <row r="778" spans="1:12" ht="15">
      <c r="A778" s="81" t="s">
        <v>2655</v>
      </c>
      <c r="B778" s="80" t="s">
        <v>2325</v>
      </c>
      <c r="C778" s="80">
        <v>2</v>
      </c>
      <c r="D778" s="104">
        <v>0.00047366098758412623</v>
      </c>
      <c r="E778" s="104">
        <v>2.5375042748478873</v>
      </c>
      <c r="F778" s="80" t="s">
        <v>3370</v>
      </c>
      <c r="G778" s="80" t="b">
        <v>0</v>
      </c>
      <c r="H778" s="80" t="b">
        <v>0</v>
      </c>
      <c r="I778" s="80" t="b">
        <v>0</v>
      </c>
      <c r="J778" s="80" t="b">
        <v>0</v>
      </c>
      <c r="K778" s="80" t="b">
        <v>0</v>
      </c>
      <c r="L778" s="80" t="b">
        <v>0</v>
      </c>
    </row>
    <row r="779" spans="1:12" ht="15">
      <c r="A779" s="81" t="s">
        <v>2326</v>
      </c>
      <c r="B779" s="80" t="s">
        <v>2737</v>
      </c>
      <c r="C779" s="80">
        <v>2</v>
      </c>
      <c r="D779" s="104">
        <v>0.00047366098758412623</v>
      </c>
      <c r="E779" s="104">
        <v>2.6624430114561872</v>
      </c>
      <c r="F779" s="80" t="s">
        <v>3370</v>
      </c>
      <c r="G779" s="80" t="b">
        <v>0</v>
      </c>
      <c r="H779" s="80" t="b">
        <v>0</v>
      </c>
      <c r="I779" s="80" t="b">
        <v>0</v>
      </c>
      <c r="J779" s="80" t="b">
        <v>0</v>
      </c>
      <c r="K779" s="80" t="b">
        <v>0</v>
      </c>
      <c r="L779" s="80" t="b">
        <v>0</v>
      </c>
    </row>
    <row r="780" spans="1:12" ht="15">
      <c r="A780" s="81" t="s">
        <v>2491</v>
      </c>
      <c r="B780" s="80" t="s">
        <v>2970</v>
      </c>
      <c r="C780" s="80">
        <v>2</v>
      </c>
      <c r="D780" s="104">
        <v>0.00040173028372176515</v>
      </c>
      <c r="E780" s="104">
        <v>3.2187455122234745</v>
      </c>
      <c r="F780" s="80" t="s">
        <v>3370</v>
      </c>
      <c r="G780" s="80" t="b">
        <v>0</v>
      </c>
      <c r="H780" s="80" t="b">
        <v>0</v>
      </c>
      <c r="I780" s="80" t="b">
        <v>0</v>
      </c>
      <c r="J780" s="80" t="b">
        <v>0</v>
      </c>
      <c r="K780" s="80" t="b">
        <v>0</v>
      </c>
      <c r="L780" s="80" t="b">
        <v>0</v>
      </c>
    </row>
    <row r="781" spans="1:12" ht="15">
      <c r="A781" s="81" t="s">
        <v>2250</v>
      </c>
      <c r="B781" s="80" t="s">
        <v>2346</v>
      </c>
      <c r="C781" s="80">
        <v>2</v>
      </c>
      <c r="D781" s="104">
        <v>0.00040173028372176515</v>
      </c>
      <c r="E781" s="104">
        <v>1.8570176762058817</v>
      </c>
      <c r="F781" s="80" t="s">
        <v>3370</v>
      </c>
      <c r="G781" s="80" t="b">
        <v>0</v>
      </c>
      <c r="H781" s="80" t="b">
        <v>0</v>
      </c>
      <c r="I781" s="80" t="b">
        <v>0</v>
      </c>
      <c r="J781" s="80" t="b">
        <v>0</v>
      </c>
      <c r="K781" s="80" t="b">
        <v>0</v>
      </c>
      <c r="L781" s="80" t="b">
        <v>0</v>
      </c>
    </row>
    <row r="782" spans="1:12" ht="15">
      <c r="A782" s="81" t="s">
        <v>2220</v>
      </c>
      <c r="B782" s="80" t="s">
        <v>2243</v>
      </c>
      <c r="C782" s="80">
        <v>2</v>
      </c>
      <c r="D782" s="104">
        <v>0.00047366098758412623</v>
      </c>
      <c r="E782" s="104">
        <v>1.0081594873183182</v>
      </c>
      <c r="F782" s="80" t="s">
        <v>3370</v>
      </c>
      <c r="G782" s="80" t="b">
        <v>0</v>
      </c>
      <c r="H782" s="80" t="b">
        <v>0</v>
      </c>
      <c r="I782" s="80" t="b">
        <v>0</v>
      </c>
      <c r="J782" s="80" t="b">
        <v>0</v>
      </c>
      <c r="K782" s="80" t="b">
        <v>0</v>
      </c>
      <c r="L782" s="80" t="b">
        <v>0</v>
      </c>
    </row>
    <row r="783" spans="1:12" ht="15">
      <c r="A783" s="81" t="s">
        <v>2879</v>
      </c>
      <c r="B783" s="80" t="s">
        <v>2715</v>
      </c>
      <c r="C783" s="80">
        <v>2</v>
      </c>
      <c r="D783" s="104">
        <v>0.00040173028372176515</v>
      </c>
      <c r="E783" s="104">
        <v>3.2645030027841497</v>
      </c>
      <c r="F783" s="80" t="s">
        <v>3370</v>
      </c>
      <c r="G783" s="80" t="b">
        <v>0</v>
      </c>
      <c r="H783" s="80" t="b">
        <v>0</v>
      </c>
      <c r="I783" s="80" t="b">
        <v>0</v>
      </c>
      <c r="J783" s="80" t="b">
        <v>0</v>
      </c>
      <c r="K783" s="80" t="b">
        <v>0</v>
      </c>
      <c r="L783" s="80" t="b">
        <v>0</v>
      </c>
    </row>
    <row r="784" spans="1:12" ht="15">
      <c r="A784" s="81" t="s">
        <v>2340</v>
      </c>
      <c r="B784" s="80" t="s">
        <v>2885</v>
      </c>
      <c r="C784" s="80">
        <v>2</v>
      </c>
      <c r="D784" s="104">
        <v>0.00040173028372176515</v>
      </c>
      <c r="E784" s="104">
        <v>2.9177155165594932</v>
      </c>
      <c r="F784" s="80" t="s">
        <v>3370</v>
      </c>
      <c r="G784" s="80" t="b">
        <v>0</v>
      </c>
      <c r="H784" s="80" t="b">
        <v>0</v>
      </c>
      <c r="I784" s="80" t="b">
        <v>0</v>
      </c>
      <c r="J784" s="80" t="b">
        <v>0</v>
      </c>
      <c r="K784" s="80" t="b">
        <v>0</v>
      </c>
      <c r="L784" s="80" t="b">
        <v>0</v>
      </c>
    </row>
    <row r="785" spans="1:12" ht="15">
      <c r="A785" s="81" t="s">
        <v>2418</v>
      </c>
      <c r="B785" s="80" t="s">
        <v>2643</v>
      </c>
      <c r="C785" s="80">
        <v>2</v>
      </c>
      <c r="D785" s="104">
        <v>0.00047366098758412623</v>
      </c>
      <c r="E785" s="104">
        <v>2.7715874808812555</v>
      </c>
      <c r="F785" s="80" t="s">
        <v>3370</v>
      </c>
      <c r="G785" s="80" t="b">
        <v>0</v>
      </c>
      <c r="H785" s="80" t="b">
        <v>0</v>
      </c>
      <c r="I785" s="80" t="b">
        <v>0</v>
      </c>
      <c r="J785" s="80" t="b">
        <v>0</v>
      </c>
      <c r="K785" s="80" t="b">
        <v>0</v>
      </c>
      <c r="L785" s="80" t="b">
        <v>0</v>
      </c>
    </row>
    <row r="786" spans="1:12" ht="15">
      <c r="A786" s="81" t="s">
        <v>2232</v>
      </c>
      <c r="B786" s="80" t="s">
        <v>3157</v>
      </c>
      <c r="C786" s="80">
        <v>2</v>
      </c>
      <c r="D786" s="104">
        <v>0.00040173028372176515</v>
      </c>
      <c r="E786" s="104">
        <v>2.3992015766816057</v>
      </c>
      <c r="F786" s="80" t="s">
        <v>3370</v>
      </c>
      <c r="G786" s="80" t="b">
        <v>0</v>
      </c>
      <c r="H786" s="80" t="b">
        <v>0</v>
      </c>
      <c r="I786" s="80" t="b">
        <v>0</v>
      </c>
      <c r="J786" s="80" t="b">
        <v>0</v>
      </c>
      <c r="K786" s="80" t="b">
        <v>0</v>
      </c>
      <c r="L786" s="80" t="b">
        <v>0</v>
      </c>
    </row>
    <row r="787" spans="1:12" ht="15">
      <c r="A787" s="81" t="s">
        <v>3220</v>
      </c>
      <c r="B787" s="80" t="s">
        <v>2602</v>
      </c>
      <c r="C787" s="80">
        <v>2</v>
      </c>
      <c r="D787" s="104">
        <v>0.00040173028372176515</v>
      </c>
      <c r="E787" s="104">
        <v>3.315655525231531</v>
      </c>
      <c r="F787" s="80" t="s">
        <v>3370</v>
      </c>
      <c r="G787" s="80" t="b">
        <v>0</v>
      </c>
      <c r="H787" s="80" t="b">
        <v>0</v>
      </c>
      <c r="I787" s="80" t="b">
        <v>0</v>
      </c>
      <c r="J787" s="80" t="b">
        <v>0</v>
      </c>
      <c r="K787" s="80" t="b">
        <v>0</v>
      </c>
      <c r="L787" s="80" t="b">
        <v>0</v>
      </c>
    </row>
    <row r="788" spans="1:12" ht="15">
      <c r="A788" s="81" t="s">
        <v>2366</v>
      </c>
      <c r="B788" s="80" t="s">
        <v>2458</v>
      </c>
      <c r="C788" s="80">
        <v>2</v>
      </c>
      <c r="D788" s="104">
        <v>0.00040173028372176515</v>
      </c>
      <c r="E788" s="104">
        <v>2.5375042748478873</v>
      </c>
      <c r="F788" s="80" t="s">
        <v>3370</v>
      </c>
      <c r="G788" s="80" t="b">
        <v>0</v>
      </c>
      <c r="H788" s="80" t="b">
        <v>0</v>
      </c>
      <c r="I788" s="80" t="b">
        <v>0</v>
      </c>
      <c r="J788" s="80" t="b">
        <v>0</v>
      </c>
      <c r="K788" s="80" t="b">
        <v>0</v>
      </c>
      <c r="L788" s="80" t="b">
        <v>0</v>
      </c>
    </row>
    <row r="789" spans="1:12" ht="15">
      <c r="A789" s="81" t="s">
        <v>2220</v>
      </c>
      <c r="B789" s="80" t="s">
        <v>2274</v>
      </c>
      <c r="C789" s="80">
        <v>2</v>
      </c>
      <c r="D789" s="104">
        <v>0.00040173028372176515</v>
      </c>
      <c r="E789" s="104">
        <v>1.3091894829822992</v>
      </c>
      <c r="F789" s="80" t="s">
        <v>3370</v>
      </c>
      <c r="G789" s="80" t="b">
        <v>0</v>
      </c>
      <c r="H789" s="80" t="b">
        <v>0</v>
      </c>
      <c r="I789" s="80" t="b">
        <v>0</v>
      </c>
      <c r="J789" s="80" t="b">
        <v>0</v>
      </c>
      <c r="K789" s="80" t="b">
        <v>0</v>
      </c>
      <c r="L789" s="80" t="b">
        <v>0</v>
      </c>
    </row>
    <row r="790" spans="1:12" ht="15">
      <c r="A790" s="81" t="s">
        <v>2870</v>
      </c>
      <c r="B790" s="80" t="s">
        <v>2237</v>
      </c>
      <c r="C790" s="80">
        <v>2</v>
      </c>
      <c r="D790" s="104">
        <v>0.00047366098758412623</v>
      </c>
      <c r="E790" s="104">
        <v>2.2645030027841497</v>
      </c>
      <c r="F790" s="80" t="s">
        <v>3370</v>
      </c>
      <c r="G790" s="80" t="b">
        <v>0</v>
      </c>
      <c r="H790" s="80" t="b">
        <v>0</v>
      </c>
      <c r="I790" s="80" t="b">
        <v>0</v>
      </c>
      <c r="J790" s="80" t="b">
        <v>0</v>
      </c>
      <c r="K790" s="80" t="b">
        <v>0</v>
      </c>
      <c r="L790" s="80" t="b">
        <v>0</v>
      </c>
    </row>
    <row r="791" spans="1:12" ht="15">
      <c r="A791" s="81" t="s">
        <v>2399</v>
      </c>
      <c r="B791" s="80" t="s">
        <v>2438</v>
      </c>
      <c r="C791" s="80">
        <v>2</v>
      </c>
      <c r="D791" s="104">
        <v>0.00047366098758412623</v>
      </c>
      <c r="E791" s="104">
        <v>2.595496221825574</v>
      </c>
      <c r="F791" s="80" t="s">
        <v>3370</v>
      </c>
      <c r="G791" s="80" t="b">
        <v>0</v>
      </c>
      <c r="H791" s="80" t="b">
        <v>0</v>
      </c>
      <c r="I791" s="80" t="b">
        <v>0</v>
      </c>
      <c r="J791" s="80" t="b">
        <v>0</v>
      </c>
      <c r="K791" s="80" t="b">
        <v>0</v>
      </c>
      <c r="L791" s="80" t="b">
        <v>0</v>
      </c>
    </row>
    <row r="792" spans="1:12" ht="15">
      <c r="A792" s="81" t="s">
        <v>3080</v>
      </c>
      <c r="B792" s="80" t="s">
        <v>2429</v>
      </c>
      <c r="C792" s="80">
        <v>2</v>
      </c>
      <c r="D792" s="104">
        <v>0.00040173028372176515</v>
      </c>
      <c r="E792" s="104">
        <v>3.13956426617585</v>
      </c>
      <c r="F792" s="80" t="s">
        <v>3370</v>
      </c>
      <c r="G792" s="80" t="b">
        <v>0</v>
      </c>
      <c r="H792" s="80" t="b">
        <v>0</v>
      </c>
      <c r="I792" s="80" t="b">
        <v>0</v>
      </c>
      <c r="J792" s="80" t="b">
        <v>0</v>
      </c>
      <c r="K792" s="80" t="b">
        <v>0</v>
      </c>
      <c r="L792" s="80" t="b">
        <v>0</v>
      </c>
    </row>
    <row r="793" spans="1:12" ht="15">
      <c r="A793" s="81" t="s">
        <v>2235</v>
      </c>
      <c r="B793" s="80" t="s">
        <v>2359</v>
      </c>
      <c r="C793" s="80">
        <v>2</v>
      </c>
      <c r="D793" s="104">
        <v>0.00040173028372176515</v>
      </c>
      <c r="E793" s="104">
        <v>1.759353024464244</v>
      </c>
      <c r="F793" s="80" t="s">
        <v>3370</v>
      </c>
      <c r="G793" s="80" t="b">
        <v>0</v>
      </c>
      <c r="H793" s="80" t="b">
        <v>0</v>
      </c>
      <c r="I793" s="80" t="b">
        <v>0</v>
      </c>
      <c r="J793" s="80" t="b">
        <v>0</v>
      </c>
      <c r="K793" s="80" t="b">
        <v>0</v>
      </c>
      <c r="L793" s="80" t="b">
        <v>0</v>
      </c>
    </row>
    <row r="794" spans="1:12" ht="15">
      <c r="A794" s="81" t="s">
        <v>2589</v>
      </c>
      <c r="B794" s="80" t="s">
        <v>3042</v>
      </c>
      <c r="C794" s="80">
        <v>2</v>
      </c>
      <c r="D794" s="104">
        <v>0.00047366098758412623</v>
      </c>
      <c r="E794" s="104">
        <v>3.315655525231531</v>
      </c>
      <c r="F794" s="80" t="s">
        <v>3370</v>
      </c>
      <c r="G794" s="80" t="b">
        <v>0</v>
      </c>
      <c r="H794" s="80" t="b">
        <v>0</v>
      </c>
      <c r="I794" s="80" t="b">
        <v>0</v>
      </c>
      <c r="J794" s="80" t="b">
        <v>0</v>
      </c>
      <c r="K794" s="80" t="b">
        <v>0</v>
      </c>
      <c r="L794" s="80" t="b">
        <v>0</v>
      </c>
    </row>
    <row r="795" spans="1:12" ht="15">
      <c r="A795" s="81" t="s">
        <v>2443</v>
      </c>
      <c r="B795" s="80" t="s">
        <v>2213</v>
      </c>
      <c r="C795" s="80">
        <v>2</v>
      </c>
      <c r="D795" s="104">
        <v>0.00040173028372176515</v>
      </c>
      <c r="E795" s="104">
        <v>1.3836894105033584</v>
      </c>
      <c r="F795" s="80" t="s">
        <v>3370</v>
      </c>
      <c r="G795" s="80" t="b">
        <v>0</v>
      </c>
      <c r="H795" s="80" t="b">
        <v>0</v>
      </c>
      <c r="I795" s="80" t="b">
        <v>0</v>
      </c>
      <c r="J795" s="80" t="b">
        <v>0</v>
      </c>
      <c r="K795" s="80" t="b">
        <v>0</v>
      </c>
      <c r="L795" s="80" t="b">
        <v>0</v>
      </c>
    </row>
    <row r="796" spans="1:12" ht="15">
      <c r="A796" s="81" t="s">
        <v>2221</v>
      </c>
      <c r="B796" s="80" t="s">
        <v>2236</v>
      </c>
      <c r="C796" s="80">
        <v>2</v>
      </c>
      <c r="D796" s="104">
        <v>0.00040173028372176515</v>
      </c>
      <c r="E796" s="104">
        <v>0.9893196643027796</v>
      </c>
      <c r="F796" s="80" t="s">
        <v>3370</v>
      </c>
      <c r="G796" s="80" t="b">
        <v>0</v>
      </c>
      <c r="H796" s="80" t="b">
        <v>0</v>
      </c>
      <c r="I796" s="80" t="b">
        <v>0</v>
      </c>
      <c r="J796" s="80" t="b">
        <v>0</v>
      </c>
      <c r="K796" s="80" t="b">
        <v>0</v>
      </c>
      <c r="L796" s="80" t="b">
        <v>0</v>
      </c>
    </row>
    <row r="797" spans="1:12" ht="15">
      <c r="A797" s="81" t="s">
        <v>2976</v>
      </c>
      <c r="B797" s="80" t="s">
        <v>3086</v>
      </c>
      <c r="C797" s="80">
        <v>2</v>
      </c>
      <c r="D797" s="104">
        <v>0.00040173028372176515</v>
      </c>
      <c r="E797" s="104">
        <v>3.616685520895512</v>
      </c>
      <c r="F797" s="80" t="s">
        <v>3370</v>
      </c>
      <c r="G797" s="80" t="b">
        <v>0</v>
      </c>
      <c r="H797" s="80" t="b">
        <v>0</v>
      </c>
      <c r="I797" s="80" t="b">
        <v>0</v>
      </c>
      <c r="J797" s="80" t="b">
        <v>0</v>
      </c>
      <c r="K797" s="80" t="b">
        <v>0</v>
      </c>
      <c r="L797" s="80" t="b">
        <v>0</v>
      </c>
    </row>
    <row r="798" spans="1:12" ht="15">
      <c r="A798" s="81" t="s">
        <v>2591</v>
      </c>
      <c r="B798" s="80" t="s">
        <v>3013</v>
      </c>
      <c r="C798" s="80">
        <v>2</v>
      </c>
      <c r="D798" s="104">
        <v>0.00040173028372176515</v>
      </c>
      <c r="E798" s="104">
        <v>3.315655525231531</v>
      </c>
      <c r="F798" s="80" t="s">
        <v>3370</v>
      </c>
      <c r="G798" s="80" t="b">
        <v>0</v>
      </c>
      <c r="H798" s="80" t="b">
        <v>0</v>
      </c>
      <c r="I798" s="80" t="b">
        <v>0</v>
      </c>
      <c r="J798" s="80" t="b">
        <v>0</v>
      </c>
      <c r="K798" s="80" t="b">
        <v>0</v>
      </c>
      <c r="L798" s="80" t="b">
        <v>0</v>
      </c>
    </row>
    <row r="799" spans="1:12" ht="15">
      <c r="A799" s="81" t="s">
        <v>2958</v>
      </c>
      <c r="B799" s="80" t="s">
        <v>3185</v>
      </c>
      <c r="C799" s="80">
        <v>2</v>
      </c>
      <c r="D799" s="104">
        <v>0.00047366098758412623</v>
      </c>
      <c r="E799" s="104">
        <v>3.616685520895512</v>
      </c>
      <c r="F799" s="80" t="s">
        <v>3370</v>
      </c>
      <c r="G799" s="80" t="b">
        <v>0</v>
      </c>
      <c r="H799" s="80" t="b">
        <v>0</v>
      </c>
      <c r="I799" s="80" t="b">
        <v>0</v>
      </c>
      <c r="J799" s="80" t="b">
        <v>0</v>
      </c>
      <c r="K799" s="80" t="b">
        <v>0</v>
      </c>
      <c r="L799" s="80" t="b">
        <v>0</v>
      </c>
    </row>
    <row r="800" spans="1:12" ht="15">
      <c r="A800" s="81" t="s">
        <v>2214</v>
      </c>
      <c r="B800" s="80" t="s">
        <v>2277</v>
      </c>
      <c r="C800" s="80">
        <v>2</v>
      </c>
      <c r="D800" s="104">
        <v>0.00040173028372176515</v>
      </c>
      <c r="E800" s="104">
        <v>0.9577206782310772</v>
      </c>
      <c r="F800" s="80" t="s">
        <v>3370</v>
      </c>
      <c r="G800" s="80" t="b">
        <v>0</v>
      </c>
      <c r="H800" s="80" t="b">
        <v>0</v>
      </c>
      <c r="I800" s="80" t="b">
        <v>0</v>
      </c>
      <c r="J800" s="80" t="b">
        <v>0</v>
      </c>
      <c r="K800" s="80" t="b">
        <v>0</v>
      </c>
      <c r="L800" s="80" t="b">
        <v>0</v>
      </c>
    </row>
    <row r="801" spans="1:12" ht="15">
      <c r="A801" s="81" t="s">
        <v>2508</v>
      </c>
      <c r="B801" s="80" t="s">
        <v>2367</v>
      </c>
      <c r="C801" s="80">
        <v>2</v>
      </c>
      <c r="D801" s="104">
        <v>0.00040173028372176515</v>
      </c>
      <c r="E801" s="104">
        <v>2.565532998448131</v>
      </c>
      <c r="F801" s="80" t="s">
        <v>3370</v>
      </c>
      <c r="G801" s="80" t="b">
        <v>0</v>
      </c>
      <c r="H801" s="80" t="b">
        <v>0</v>
      </c>
      <c r="I801" s="80" t="b">
        <v>0</v>
      </c>
      <c r="J801" s="80" t="b">
        <v>0</v>
      </c>
      <c r="K801" s="80" t="b">
        <v>0</v>
      </c>
      <c r="L801" s="80" t="b">
        <v>0</v>
      </c>
    </row>
    <row r="802" spans="1:12" ht="15">
      <c r="A802" s="81" t="s">
        <v>2983</v>
      </c>
      <c r="B802" s="80" t="s">
        <v>2682</v>
      </c>
      <c r="C802" s="80">
        <v>2</v>
      </c>
      <c r="D802" s="104">
        <v>0.00040173028372176515</v>
      </c>
      <c r="E802" s="104">
        <v>3.315655525231531</v>
      </c>
      <c r="F802" s="80" t="s">
        <v>3370</v>
      </c>
      <c r="G802" s="80" t="b">
        <v>1</v>
      </c>
      <c r="H802" s="80" t="b">
        <v>0</v>
      </c>
      <c r="I802" s="80" t="b">
        <v>0</v>
      </c>
      <c r="J802" s="80" t="b">
        <v>0</v>
      </c>
      <c r="K802" s="80" t="b">
        <v>0</v>
      </c>
      <c r="L802" s="80" t="b">
        <v>0</v>
      </c>
    </row>
    <row r="803" spans="1:12" ht="15">
      <c r="A803" s="81" t="s">
        <v>2789</v>
      </c>
      <c r="B803" s="80" t="s">
        <v>2446</v>
      </c>
      <c r="C803" s="80">
        <v>2</v>
      </c>
      <c r="D803" s="104">
        <v>0.00047366098758412623</v>
      </c>
      <c r="E803" s="104">
        <v>2.9634730071201685</v>
      </c>
      <c r="F803" s="80" t="s">
        <v>3370</v>
      </c>
      <c r="G803" s="80" t="b">
        <v>0</v>
      </c>
      <c r="H803" s="80" t="b">
        <v>0</v>
      </c>
      <c r="I803" s="80" t="b">
        <v>0</v>
      </c>
      <c r="J803" s="80" t="b">
        <v>0</v>
      </c>
      <c r="K803" s="80" t="b">
        <v>0</v>
      </c>
      <c r="L803" s="80" t="b">
        <v>0</v>
      </c>
    </row>
    <row r="804" spans="1:12" ht="15">
      <c r="A804" s="81" t="s">
        <v>2886</v>
      </c>
      <c r="B804" s="80" t="s">
        <v>2270</v>
      </c>
      <c r="C804" s="80">
        <v>2</v>
      </c>
      <c r="D804" s="104">
        <v>0.00040173028372176515</v>
      </c>
      <c r="E804" s="104">
        <v>2.6872665951812196</v>
      </c>
      <c r="F804" s="80" t="s">
        <v>3370</v>
      </c>
      <c r="G804" s="80" t="b">
        <v>1</v>
      </c>
      <c r="H804" s="80" t="b">
        <v>0</v>
      </c>
      <c r="I804" s="80" t="b">
        <v>0</v>
      </c>
      <c r="J804" s="80" t="b">
        <v>0</v>
      </c>
      <c r="K804" s="80" t="b">
        <v>0</v>
      </c>
      <c r="L804" s="80" t="b">
        <v>0</v>
      </c>
    </row>
    <row r="805" spans="1:12" ht="15">
      <c r="A805" s="81" t="s">
        <v>2431</v>
      </c>
      <c r="B805" s="80" t="s">
        <v>2811</v>
      </c>
      <c r="C805" s="80">
        <v>2</v>
      </c>
      <c r="D805" s="104">
        <v>0.00040173028372176515</v>
      </c>
      <c r="E805" s="104">
        <v>2.9634730071201685</v>
      </c>
      <c r="F805" s="80" t="s">
        <v>3370</v>
      </c>
      <c r="G805" s="80" t="b">
        <v>0</v>
      </c>
      <c r="H805" s="80" t="b">
        <v>0</v>
      </c>
      <c r="I805" s="80" t="b">
        <v>0</v>
      </c>
      <c r="J805" s="80" t="b">
        <v>0</v>
      </c>
      <c r="K805" s="80" t="b">
        <v>0</v>
      </c>
      <c r="L805" s="80" t="b">
        <v>0</v>
      </c>
    </row>
    <row r="806" spans="1:12" ht="15">
      <c r="A806" s="81" t="s">
        <v>2221</v>
      </c>
      <c r="B806" s="80" t="s">
        <v>2217</v>
      </c>
      <c r="C806" s="80">
        <v>2</v>
      </c>
      <c r="D806" s="104">
        <v>0.00040173028372176515</v>
      </c>
      <c r="E806" s="104">
        <v>0.6619607299164493</v>
      </c>
      <c r="F806" s="80" t="s">
        <v>3370</v>
      </c>
      <c r="G806" s="80" t="b">
        <v>0</v>
      </c>
      <c r="H806" s="80" t="b">
        <v>0</v>
      </c>
      <c r="I806" s="80" t="b">
        <v>0</v>
      </c>
      <c r="J806" s="80" t="b">
        <v>0</v>
      </c>
      <c r="K806" s="80" t="b">
        <v>0</v>
      </c>
      <c r="L806" s="80" t="b">
        <v>0</v>
      </c>
    </row>
    <row r="807" spans="1:12" ht="15">
      <c r="A807" s="81" t="s">
        <v>2642</v>
      </c>
      <c r="B807" s="80" t="s">
        <v>3038</v>
      </c>
      <c r="C807" s="80">
        <v>2</v>
      </c>
      <c r="D807" s="104">
        <v>0.00040173028372176515</v>
      </c>
      <c r="E807" s="104">
        <v>3.315655525231531</v>
      </c>
      <c r="F807" s="80" t="s">
        <v>3370</v>
      </c>
      <c r="G807" s="80" t="b">
        <v>0</v>
      </c>
      <c r="H807" s="80" t="b">
        <v>0</v>
      </c>
      <c r="I807" s="80" t="b">
        <v>0</v>
      </c>
      <c r="J807" s="80" t="b">
        <v>0</v>
      </c>
      <c r="K807" s="80" t="b">
        <v>0</v>
      </c>
      <c r="L807" s="80" t="b">
        <v>0</v>
      </c>
    </row>
    <row r="808" spans="1:12" ht="15">
      <c r="A808" s="81" t="s">
        <v>2420</v>
      </c>
      <c r="B808" s="80" t="s">
        <v>2726</v>
      </c>
      <c r="C808" s="80">
        <v>2</v>
      </c>
      <c r="D808" s="104">
        <v>0.00040173028372176515</v>
      </c>
      <c r="E808" s="104">
        <v>2.8965262174895554</v>
      </c>
      <c r="F808" s="80" t="s">
        <v>3370</v>
      </c>
      <c r="G808" s="80" t="b">
        <v>0</v>
      </c>
      <c r="H808" s="80" t="b">
        <v>0</v>
      </c>
      <c r="I808" s="80" t="b">
        <v>0</v>
      </c>
      <c r="J808" s="80" t="b">
        <v>0</v>
      </c>
      <c r="K808" s="80" t="b">
        <v>0</v>
      </c>
      <c r="L808" s="80" t="b">
        <v>0</v>
      </c>
    </row>
    <row r="809" spans="1:12" ht="15">
      <c r="A809" s="81" t="s">
        <v>2232</v>
      </c>
      <c r="B809" s="80" t="s">
        <v>3290</v>
      </c>
      <c r="C809" s="80">
        <v>2</v>
      </c>
      <c r="D809" s="104">
        <v>0.00040173028372176515</v>
      </c>
      <c r="E809" s="104">
        <v>2.3992015766816057</v>
      </c>
      <c r="F809" s="80" t="s">
        <v>3370</v>
      </c>
      <c r="G809" s="80" t="b">
        <v>0</v>
      </c>
      <c r="H809" s="80" t="b">
        <v>0</v>
      </c>
      <c r="I809" s="80" t="b">
        <v>0</v>
      </c>
      <c r="J809" s="80" t="b">
        <v>0</v>
      </c>
      <c r="K809" s="80" t="b">
        <v>0</v>
      </c>
      <c r="L809" s="80" t="b">
        <v>0</v>
      </c>
    </row>
    <row r="810" spans="1:12" ht="15">
      <c r="A810" s="81" t="s">
        <v>2359</v>
      </c>
      <c r="B810" s="80" t="s">
        <v>2429</v>
      </c>
      <c r="C810" s="80">
        <v>2</v>
      </c>
      <c r="D810" s="104">
        <v>0.00040173028372176515</v>
      </c>
      <c r="E810" s="104">
        <v>2.486351752400506</v>
      </c>
      <c r="F810" s="80" t="s">
        <v>3370</v>
      </c>
      <c r="G810" s="80" t="b">
        <v>0</v>
      </c>
      <c r="H810" s="80" t="b">
        <v>0</v>
      </c>
      <c r="I810" s="80" t="b">
        <v>0</v>
      </c>
      <c r="J810" s="80" t="b">
        <v>0</v>
      </c>
      <c r="K810" s="80" t="b">
        <v>0</v>
      </c>
      <c r="L810" s="80" t="b">
        <v>0</v>
      </c>
    </row>
    <row r="811" spans="1:12" ht="15">
      <c r="A811" s="81" t="s">
        <v>2223</v>
      </c>
      <c r="B811" s="80" t="s">
        <v>2279</v>
      </c>
      <c r="C811" s="80">
        <v>2</v>
      </c>
      <c r="D811" s="104">
        <v>0.00040173028372176515</v>
      </c>
      <c r="E811" s="104">
        <v>1.3350840770698569</v>
      </c>
      <c r="F811" s="80" t="s">
        <v>3370</v>
      </c>
      <c r="G811" s="80" t="b">
        <v>0</v>
      </c>
      <c r="H811" s="80" t="b">
        <v>0</v>
      </c>
      <c r="I811" s="80" t="b">
        <v>0</v>
      </c>
      <c r="J811" s="80" t="b">
        <v>0</v>
      </c>
      <c r="K811" s="80" t="b">
        <v>0</v>
      </c>
      <c r="L811" s="80" t="b">
        <v>0</v>
      </c>
    </row>
    <row r="812" spans="1:12" ht="15">
      <c r="A812" s="81" t="s">
        <v>3045</v>
      </c>
      <c r="B812" s="80" t="s">
        <v>2993</v>
      </c>
      <c r="C812" s="80">
        <v>2</v>
      </c>
      <c r="D812" s="104">
        <v>0.00040173028372176515</v>
      </c>
      <c r="E812" s="104">
        <v>3.616685520895512</v>
      </c>
      <c r="F812" s="80" t="s">
        <v>3370</v>
      </c>
      <c r="G812" s="80" t="b">
        <v>0</v>
      </c>
      <c r="H812" s="80" t="b">
        <v>0</v>
      </c>
      <c r="I812" s="80" t="b">
        <v>0</v>
      </c>
      <c r="J812" s="80" t="b">
        <v>0</v>
      </c>
      <c r="K812" s="80" t="b">
        <v>0</v>
      </c>
      <c r="L812" s="80" t="b">
        <v>0</v>
      </c>
    </row>
    <row r="813" spans="1:12" ht="15">
      <c r="A813" s="81" t="s">
        <v>2411</v>
      </c>
      <c r="B813" s="80" t="s">
        <v>2635</v>
      </c>
      <c r="C813" s="80">
        <v>2</v>
      </c>
      <c r="D813" s="104">
        <v>0.00040173028372176515</v>
      </c>
      <c r="E813" s="104">
        <v>2.7715874808812555</v>
      </c>
      <c r="F813" s="80" t="s">
        <v>3370</v>
      </c>
      <c r="G813" s="80" t="b">
        <v>0</v>
      </c>
      <c r="H813" s="80" t="b">
        <v>0</v>
      </c>
      <c r="I813" s="80" t="b">
        <v>0</v>
      </c>
      <c r="J813" s="80" t="b">
        <v>0</v>
      </c>
      <c r="K813" s="80" t="b">
        <v>0</v>
      </c>
      <c r="L813" s="80" t="b">
        <v>0</v>
      </c>
    </row>
    <row r="814" spans="1:12" ht="15">
      <c r="A814" s="81" t="s">
        <v>2965</v>
      </c>
      <c r="B814" s="80" t="s">
        <v>2683</v>
      </c>
      <c r="C814" s="80">
        <v>2</v>
      </c>
      <c r="D814" s="104">
        <v>0.00047366098758412623</v>
      </c>
      <c r="E814" s="104">
        <v>3.440594261839831</v>
      </c>
      <c r="F814" s="80" t="s">
        <v>3370</v>
      </c>
      <c r="G814" s="80" t="b">
        <v>0</v>
      </c>
      <c r="H814" s="80" t="b">
        <v>0</v>
      </c>
      <c r="I814" s="80" t="b">
        <v>0</v>
      </c>
      <c r="J814" s="80" t="b">
        <v>0</v>
      </c>
      <c r="K814" s="80" t="b">
        <v>0</v>
      </c>
      <c r="L814" s="80" t="b">
        <v>0</v>
      </c>
    </row>
    <row r="815" spans="1:12" ht="15">
      <c r="A815" s="81" t="s">
        <v>2825</v>
      </c>
      <c r="B815" s="80" t="s">
        <v>2485</v>
      </c>
      <c r="C815" s="80">
        <v>2</v>
      </c>
      <c r="D815" s="104">
        <v>0.00040173028372176515</v>
      </c>
      <c r="E815" s="104">
        <v>2.9634730071201685</v>
      </c>
      <c r="F815" s="80" t="s">
        <v>3370</v>
      </c>
      <c r="G815" s="80" t="b">
        <v>0</v>
      </c>
      <c r="H815" s="80" t="b">
        <v>0</v>
      </c>
      <c r="I815" s="80" t="b">
        <v>0</v>
      </c>
      <c r="J815" s="80" t="b">
        <v>0</v>
      </c>
      <c r="K815" s="80" t="b">
        <v>0</v>
      </c>
      <c r="L815" s="80" t="b">
        <v>0</v>
      </c>
    </row>
    <row r="816" spans="1:12" ht="15">
      <c r="A816" s="81" t="s">
        <v>2218</v>
      </c>
      <c r="B816" s="80" t="s">
        <v>3102</v>
      </c>
      <c r="C816" s="80">
        <v>2</v>
      </c>
      <c r="D816" s="104">
        <v>0.00040173028372176515</v>
      </c>
      <c r="E816" s="104">
        <v>2.104802159916638</v>
      </c>
      <c r="F816" s="80" t="s">
        <v>3370</v>
      </c>
      <c r="G816" s="80" t="b">
        <v>0</v>
      </c>
      <c r="H816" s="80" t="b">
        <v>0</v>
      </c>
      <c r="I816" s="80" t="b">
        <v>0</v>
      </c>
      <c r="J816" s="80" t="b">
        <v>0</v>
      </c>
      <c r="K816" s="80" t="b">
        <v>0</v>
      </c>
      <c r="L816" s="80" t="b">
        <v>0</v>
      </c>
    </row>
    <row r="817" spans="1:12" ht="15">
      <c r="A817" s="81" t="s">
        <v>2667</v>
      </c>
      <c r="B817" s="80" t="s">
        <v>2441</v>
      </c>
      <c r="C817" s="80">
        <v>2</v>
      </c>
      <c r="D817" s="104">
        <v>0.00040173028372176515</v>
      </c>
      <c r="E817" s="104">
        <v>2.8385342705118686</v>
      </c>
      <c r="F817" s="80" t="s">
        <v>3370</v>
      </c>
      <c r="G817" s="80" t="b">
        <v>0</v>
      </c>
      <c r="H817" s="80" t="b">
        <v>0</v>
      </c>
      <c r="I817" s="80" t="b">
        <v>0</v>
      </c>
      <c r="J817" s="80" t="b">
        <v>0</v>
      </c>
      <c r="K817" s="80" t="b">
        <v>0</v>
      </c>
      <c r="L817" s="80" t="b">
        <v>0</v>
      </c>
    </row>
    <row r="818" spans="1:12" ht="15">
      <c r="A818" s="81" t="s">
        <v>2278</v>
      </c>
      <c r="B818" s="80" t="s">
        <v>2219</v>
      </c>
      <c r="C818" s="80">
        <v>2</v>
      </c>
      <c r="D818" s="104">
        <v>0.00047366098758412623</v>
      </c>
      <c r="E818" s="104">
        <v>1.2437735179254057</v>
      </c>
      <c r="F818" s="80" t="s">
        <v>3370</v>
      </c>
      <c r="G818" s="80" t="b">
        <v>0</v>
      </c>
      <c r="H818" s="80" t="b">
        <v>0</v>
      </c>
      <c r="I818" s="80" t="b">
        <v>0</v>
      </c>
      <c r="J818" s="80" t="b">
        <v>0</v>
      </c>
      <c r="K818" s="80" t="b">
        <v>0</v>
      </c>
      <c r="L818" s="80" t="b">
        <v>0</v>
      </c>
    </row>
    <row r="819" spans="1:12" ht="15">
      <c r="A819" s="81" t="s">
        <v>2265</v>
      </c>
      <c r="B819" s="80" t="s">
        <v>2473</v>
      </c>
      <c r="C819" s="80">
        <v>2</v>
      </c>
      <c r="D819" s="104">
        <v>0.00040173028372176515</v>
      </c>
      <c r="E819" s="104">
        <v>2.185321756736525</v>
      </c>
      <c r="F819" s="80" t="s">
        <v>3370</v>
      </c>
      <c r="G819" s="80" t="b">
        <v>0</v>
      </c>
      <c r="H819" s="80" t="b">
        <v>0</v>
      </c>
      <c r="I819" s="80" t="b">
        <v>0</v>
      </c>
      <c r="J819" s="80" t="b">
        <v>0</v>
      </c>
      <c r="K819" s="80" t="b">
        <v>0</v>
      </c>
      <c r="L819" s="80" t="b">
        <v>0</v>
      </c>
    </row>
    <row r="820" spans="1:12" ht="15">
      <c r="A820" s="81" t="s">
        <v>2239</v>
      </c>
      <c r="B820" s="80" t="s">
        <v>2327</v>
      </c>
      <c r="C820" s="80">
        <v>2</v>
      </c>
      <c r="D820" s="104">
        <v>0.00040173028372176515</v>
      </c>
      <c r="E820" s="104">
        <v>1.6771662682768937</v>
      </c>
      <c r="F820" s="80" t="s">
        <v>3370</v>
      </c>
      <c r="G820" s="80" t="b">
        <v>0</v>
      </c>
      <c r="H820" s="80" t="b">
        <v>0</v>
      </c>
      <c r="I820" s="80" t="b">
        <v>0</v>
      </c>
      <c r="J820" s="80" t="b">
        <v>0</v>
      </c>
      <c r="K820" s="80" t="b">
        <v>0</v>
      </c>
      <c r="L820" s="80" t="b">
        <v>0</v>
      </c>
    </row>
    <row r="821" spans="1:12" ht="15">
      <c r="A821" s="81" t="s">
        <v>2286</v>
      </c>
      <c r="B821" s="80" t="s">
        <v>2291</v>
      </c>
      <c r="C821" s="80">
        <v>2</v>
      </c>
      <c r="D821" s="104">
        <v>0.00040173028372176515</v>
      </c>
      <c r="E821" s="104">
        <v>1.9934362304976116</v>
      </c>
      <c r="F821" s="80" t="s">
        <v>3370</v>
      </c>
      <c r="G821" s="80" t="b">
        <v>0</v>
      </c>
      <c r="H821" s="80" t="b">
        <v>0</v>
      </c>
      <c r="I821" s="80" t="b">
        <v>0</v>
      </c>
      <c r="J821" s="80" t="b">
        <v>0</v>
      </c>
      <c r="K821" s="80" t="b">
        <v>0</v>
      </c>
      <c r="L821" s="80" t="b">
        <v>0</v>
      </c>
    </row>
    <row r="822" spans="1:12" ht="15">
      <c r="A822" s="81" t="s">
        <v>2804</v>
      </c>
      <c r="B822" s="80" t="s">
        <v>2221</v>
      </c>
      <c r="C822" s="80">
        <v>2</v>
      </c>
      <c r="D822" s="104">
        <v>0.00040173028372176515</v>
      </c>
      <c r="E822" s="104">
        <v>2.017348387903023</v>
      </c>
      <c r="F822" s="80" t="s">
        <v>3370</v>
      </c>
      <c r="G822" s="80" t="b">
        <v>0</v>
      </c>
      <c r="H822" s="80" t="b">
        <v>0</v>
      </c>
      <c r="I822" s="80" t="b">
        <v>0</v>
      </c>
      <c r="J822" s="80" t="b">
        <v>0</v>
      </c>
      <c r="K822" s="80" t="b">
        <v>0</v>
      </c>
      <c r="L822" s="80" t="b">
        <v>0</v>
      </c>
    </row>
    <row r="823" spans="1:12" ht="15">
      <c r="A823" s="81" t="s">
        <v>2996</v>
      </c>
      <c r="B823" s="80" t="s">
        <v>2348</v>
      </c>
      <c r="C823" s="80">
        <v>2</v>
      </c>
      <c r="D823" s="104">
        <v>0.00040173028372176515</v>
      </c>
      <c r="E823" s="104">
        <v>2.9177155165594932</v>
      </c>
      <c r="F823" s="80" t="s">
        <v>3370</v>
      </c>
      <c r="G823" s="80" t="b">
        <v>0</v>
      </c>
      <c r="H823" s="80" t="b">
        <v>0</v>
      </c>
      <c r="I823" s="80" t="b">
        <v>0</v>
      </c>
      <c r="J823" s="80" t="b">
        <v>0</v>
      </c>
      <c r="K823" s="80" t="b">
        <v>0</v>
      </c>
      <c r="L823" s="80" t="b">
        <v>0</v>
      </c>
    </row>
    <row r="824" spans="1:12" ht="15">
      <c r="A824" s="81" t="s">
        <v>3352</v>
      </c>
      <c r="B824" s="80" t="s">
        <v>3351</v>
      </c>
      <c r="C824" s="80">
        <v>2</v>
      </c>
      <c r="D824" s="104">
        <v>0.00040173028372176515</v>
      </c>
      <c r="E824" s="104">
        <v>3.616685520895512</v>
      </c>
      <c r="F824" s="80" t="s">
        <v>3370</v>
      </c>
      <c r="G824" s="80" t="b">
        <v>0</v>
      </c>
      <c r="H824" s="80" t="b">
        <v>0</v>
      </c>
      <c r="I824" s="80" t="b">
        <v>0</v>
      </c>
      <c r="J824" s="80" t="b">
        <v>0</v>
      </c>
      <c r="K824" s="80" t="b">
        <v>0</v>
      </c>
      <c r="L824" s="80" t="b">
        <v>0</v>
      </c>
    </row>
    <row r="825" spans="1:12" ht="15">
      <c r="A825" s="81" t="s">
        <v>2223</v>
      </c>
      <c r="B825" s="80" t="s">
        <v>2266</v>
      </c>
      <c r="C825" s="80">
        <v>2</v>
      </c>
      <c r="D825" s="104">
        <v>0.00040173028372176515</v>
      </c>
      <c r="E825" s="104">
        <v>1.2559028310222322</v>
      </c>
      <c r="F825" s="80" t="s">
        <v>3370</v>
      </c>
      <c r="G825" s="80" t="b">
        <v>0</v>
      </c>
      <c r="H825" s="80" t="b">
        <v>0</v>
      </c>
      <c r="I825" s="80" t="b">
        <v>0</v>
      </c>
      <c r="J825" s="80" t="b">
        <v>0</v>
      </c>
      <c r="K825" s="80" t="b">
        <v>0</v>
      </c>
      <c r="L825" s="80" t="b">
        <v>0</v>
      </c>
    </row>
    <row r="826" spans="1:12" ht="15">
      <c r="A826" s="81" t="s">
        <v>2722</v>
      </c>
      <c r="B826" s="80" t="s">
        <v>2664</v>
      </c>
      <c r="C826" s="80">
        <v>2</v>
      </c>
      <c r="D826" s="104">
        <v>0.00040173028372176515</v>
      </c>
      <c r="E826" s="104">
        <v>3.13956426617585</v>
      </c>
      <c r="F826" s="80" t="s">
        <v>3370</v>
      </c>
      <c r="G826" s="80" t="b">
        <v>0</v>
      </c>
      <c r="H826" s="80" t="b">
        <v>0</v>
      </c>
      <c r="I826" s="80" t="b">
        <v>0</v>
      </c>
      <c r="J826" s="80" t="b">
        <v>0</v>
      </c>
      <c r="K826" s="80" t="b">
        <v>0</v>
      </c>
      <c r="L826" s="80" t="b">
        <v>0</v>
      </c>
    </row>
    <row r="827" spans="1:12" ht="15">
      <c r="A827" s="81" t="s">
        <v>2914</v>
      </c>
      <c r="B827" s="80" t="s">
        <v>2547</v>
      </c>
      <c r="C827" s="80">
        <v>2</v>
      </c>
      <c r="D827" s="104">
        <v>0.00040173028372176515</v>
      </c>
      <c r="E827" s="104">
        <v>3.2187455122234745</v>
      </c>
      <c r="F827" s="80" t="s">
        <v>3370</v>
      </c>
      <c r="G827" s="80" t="b">
        <v>0</v>
      </c>
      <c r="H827" s="80" t="b">
        <v>0</v>
      </c>
      <c r="I827" s="80" t="b">
        <v>0</v>
      </c>
      <c r="J827" s="80" t="b">
        <v>0</v>
      </c>
      <c r="K827" s="80" t="b">
        <v>0</v>
      </c>
      <c r="L827" s="80" t="b">
        <v>0</v>
      </c>
    </row>
    <row r="828" spans="1:12" ht="15">
      <c r="A828" s="81" t="s">
        <v>2892</v>
      </c>
      <c r="B828" s="80" t="s">
        <v>2910</v>
      </c>
      <c r="C828" s="80">
        <v>2</v>
      </c>
      <c r="D828" s="104">
        <v>0.00047366098758412623</v>
      </c>
      <c r="E828" s="104">
        <v>3.616685520895512</v>
      </c>
      <c r="F828" s="80" t="s">
        <v>3370</v>
      </c>
      <c r="G828" s="80" t="b">
        <v>0</v>
      </c>
      <c r="H828" s="80" t="b">
        <v>0</v>
      </c>
      <c r="I828" s="80" t="b">
        <v>0</v>
      </c>
      <c r="J828" s="80" t="b">
        <v>0</v>
      </c>
      <c r="K828" s="80" t="b">
        <v>0</v>
      </c>
      <c r="L828" s="80" t="b">
        <v>0</v>
      </c>
    </row>
    <row r="829" spans="1:12" ht="15">
      <c r="A829" s="81" t="s">
        <v>3012</v>
      </c>
      <c r="B829" s="80" t="s">
        <v>2468</v>
      </c>
      <c r="C829" s="80">
        <v>2</v>
      </c>
      <c r="D829" s="104">
        <v>0.00040173028372176515</v>
      </c>
      <c r="E829" s="104">
        <v>3.13956426617585</v>
      </c>
      <c r="F829" s="80" t="s">
        <v>3370</v>
      </c>
      <c r="G829" s="80" t="b">
        <v>0</v>
      </c>
      <c r="H829" s="80" t="b">
        <v>0</v>
      </c>
      <c r="I829" s="80" t="b">
        <v>0</v>
      </c>
      <c r="J829" s="80" t="b">
        <v>0</v>
      </c>
      <c r="K829" s="80" t="b">
        <v>0</v>
      </c>
      <c r="L829" s="80" t="b">
        <v>0</v>
      </c>
    </row>
    <row r="830" spans="1:12" ht="15">
      <c r="A830" s="81" t="s">
        <v>3187</v>
      </c>
      <c r="B830" s="80" t="s">
        <v>2890</v>
      </c>
      <c r="C830" s="80">
        <v>2</v>
      </c>
      <c r="D830" s="104">
        <v>0.00040173028372176515</v>
      </c>
      <c r="E830" s="104">
        <v>3.616685520895512</v>
      </c>
      <c r="F830" s="80" t="s">
        <v>3370</v>
      </c>
      <c r="G830" s="80" t="b">
        <v>0</v>
      </c>
      <c r="H830" s="80" t="b">
        <v>0</v>
      </c>
      <c r="I830" s="80" t="b">
        <v>0</v>
      </c>
      <c r="J830" s="80" t="b">
        <v>0</v>
      </c>
      <c r="K830" s="80" t="b">
        <v>0</v>
      </c>
      <c r="L830" s="80" t="b">
        <v>0</v>
      </c>
    </row>
    <row r="831" spans="1:12" ht="15">
      <c r="A831" s="81" t="s">
        <v>3059</v>
      </c>
      <c r="B831" s="80" t="s">
        <v>2238</v>
      </c>
      <c r="C831" s="80">
        <v>2</v>
      </c>
      <c r="D831" s="104">
        <v>0.00047366098758412623</v>
      </c>
      <c r="E831" s="104">
        <v>2.4263538227252206</v>
      </c>
      <c r="F831" s="80" t="s">
        <v>3370</v>
      </c>
      <c r="G831" s="80" t="b">
        <v>0</v>
      </c>
      <c r="H831" s="80" t="b">
        <v>0</v>
      </c>
      <c r="I831" s="80" t="b">
        <v>0</v>
      </c>
      <c r="J831" s="80" t="b">
        <v>0</v>
      </c>
      <c r="K831" s="80" t="b">
        <v>0</v>
      </c>
      <c r="L831" s="80" t="b">
        <v>0</v>
      </c>
    </row>
    <row r="832" spans="1:12" ht="15">
      <c r="A832" s="81" t="s">
        <v>2981</v>
      </c>
      <c r="B832" s="80" t="s">
        <v>2233</v>
      </c>
      <c r="C832" s="80">
        <v>2</v>
      </c>
      <c r="D832" s="104">
        <v>0.00040173028372176515</v>
      </c>
      <c r="E832" s="104">
        <v>2.3992015766816057</v>
      </c>
      <c r="F832" s="80" t="s">
        <v>3370</v>
      </c>
      <c r="G832" s="80" t="b">
        <v>0</v>
      </c>
      <c r="H832" s="80" t="b">
        <v>0</v>
      </c>
      <c r="I832" s="80" t="b">
        <v>0</v>
      </c>
      <c r="J832" s="80" t="b">
        <v>0</v>
      </c>
      <c r="K832" s="80" t="b">
        <v>0</v>
      </c>
      <c r="L832" s="80" t="b">
        <v>0</v>
      </c>
    </row>
    <row r="833" spans="1:12" ht="15">
      <c r="A833" s="81" t="s">
        <v>2881</v>
      </c>
      <c r="B833" s="80" t="s">
        <v>3018</v>
      </c>
      <c r="C833" s="80">
        <v>2</v>
      </c>
      <c r="D833" s="104">
        <v>0.00047366098758412623</v>
      </c>
      <c r="E833" s="104">
        <v>3.616685520895512</v>
      </c>
      <c r="F833" s="80" t="s">
        <v>3370</v>
      </c>
      <c r="G833" s="80" t="b">
        <v>0</v>
      </c>
      <c r="H833" s="80" t="b">
        <v>0</v>
      </c>
      <c r="I833" s="80" t="b">
        <v>0</v>
      </c>
      <c r="J833" s="80" t="b">
        <v>0</v>
      </c>
      <c r="K833" s="80" t="b">
        <v>0</v>
      </c>
      <c r="L833" s="80" t="b">
        <v>0</v>
      </c>
    </row>
    <row r="834" spans="1:12" ht="15">
      <c r="A834" s="81" t="s">
        <v>2512</v>
      </c>
      <c r="B834" s="80" t="s">
        <v>3045</v>
      </c>
      <c r="C834" s="80">
        <v>2</v>
      </c>
      <c r="D834" s="104">
        <v>0.00040173028372176515</v>
      </c>
      <c r="E834" s="104">
        <v>3.2187455122234745</v>
      </c>
      <c r="F834" s="80" t="s">
        <v>3370</v>
      </c>
      <c r="G834" s="80" t="b">
        <v>0</v>
      </c>
      <c r="H834" s="80" t="b">
        <v>0</v>
      </c>
      <c r="I834" s="80" t="b">
        <v>0</v>
      </c>
      <c r="J834" s="80" t="b">
        <v>0</v>
      </c>
      <c r="K834" s="80" t="b">
        <v>0</v>
      </c>
      <c r="L834" s="80" t="b">
        <v>0</v>
      </c>
    </row>
    <row r="835" spans="1:12" ht="15">
      <c r="A835" s="81" t="s">
        <v>2336</v>
      </c>
      <c r="B835" s="80" t="s">
        <v>2220</v>
      </c>
      <c r="C835" s="80">
        <v>2</v>
      </c>
      <c r="D835" s="104">
        <v>0.00047366098758412623</v>
      </c>
      <c r="E835" s="104">
        <v>1.4291648000590491</v>
      </c>
      <c r="F835" s="80" t="s">
        <v>3370</v>
      </c>
      <c r="G835" s="80" t="b">
        <v>1</v>
      </c>
      <c r="H835" s="80" t="b">
        <v>0</v>
      </c>
      <c r="I835" s="80" t="b">
        <v>0</v>
      </c>
      <c r="J835" s="80" t="b">
        <v>0</v>
      </c>
      <c r="K835" s="80" t="b">
        <v>0</v>
      </c>
      <c r="L835" s="80" t="b">
        <v>0</v>
      </c>
    </row>
    <row r="836" spans="1:12" ht="15">
      <c r="A836" s="81" t="s">
        <v>2216</v>
      </c>
      <c r="B836" s="80" t="s">
        <v>2269</v>
      </c>
      <c r="C836" s="80">
        <v>2</v>
      </c>
      <c r="D836" s="104">
        <v>0.00040173028372176515</v>
      </c>
      <c r="E836" s="104">
        <v>1.074482738461484</v>
      </c>
      <c r="F836" s="80" t="s">
        <v>3370</v>
      </c>
      <c r="G836" s="80" t="b">
        <v>0</v>
      </c>
      <c r="H836" s="80" t="b">
        <v>0</v>
      </c>
      <c r="I836" s="80" t="b">
        <v>0</v>
      </c>
      <c r="J836" s="80" t="b">
        <v>0</v>
      </c>
      <c r="K836" s="80" t="b">
        <v>0</v>
      </c>
      <c r="L836" s="80" t="b">
        <v>0</v>
      </c>
    </row>
    <row r="837" spans="1:12" ht="15">
      <c r="A837" s="81" t="s">
        <v>2455</v>
      </c>
      <c r="B837" s="80" t="s">
        <v>2294</v>
      </c>
      <c r="C837" s="80">
        <v>2</v>
      </c>
      <c r="D837" s="104">
        <v>0.00040173028372176515</v>
      </c>
      <c r="E837" s="104">
        <v>2.373647472209218</v>
      </c>
      <c r="F837" s="80" t="s">
        <v>3370</v>
      </c>
      <c r="G837" s="80" t="b">
        <v>0</v>
      </c>
      <c r="H837" s="80" t="b">
        <v>0</v>
      </c>
      <c r="I837" s="80" t="b">
        <v>0</v>
      </c>
      <c r="J837" s="80" t="b">
        <v>0</v>
      </c>
      <c r="K837" s="80" t="b">
        <v>0</v>
      </c>
      <c r="L837" s="80" t="b">
        <v>0</v>
      </c>
    </row>
    <row r="838" spans="1:12" ht="15">
      <c r="A838" s="81" t="s">
        <v>2238</v>
      </c>
      <c r="B838" s="80" t="s">
        <v>2249</v>
      </c>
      <c r="C838" s="80">
        <v>2</v>
      </c>
      <c r="D838" s="104">
        <v>0.00040173028372176515</v>
      </c>
      <c r="E838" s="104">
        <v>1.365655982371609</v>
      </c>
      <c r="F838" s="80" t="s">
        <v>3370</v>
      </c>
      <c r="G838" s="80" t="b">
        <v>0</v>
      </c>
      <c r="H838" s="80" t="b">
        <v>0</v>
      </c>
      <c r="I838" s="80" t="b">
        <v>0</v>
      </c>
      <c r="J838" s="80" t="b">
        <v>0</v>
      </c>
      <c r="K838" s="80" t="b">
        <v>0</v>
      </c>
      <c r="L838" s="80" t="b">
        <v>0</v>
      </c>
    </row>
    <row r="839" spans="1:12" ht="15">
      <c r="A839" s="81" t="s">
        <v>2216</v>
      </c>
      <c r="B839" s="80" t="s">
        <v>2446</v>
      </c>
      <c r="C839" s="80">
        <v>2</v>
      </c>
      <c r="D839" s="104">
        <v>0.00040173028372176515</v>
      </c>
      <c r="E839" s="104">
        <v>1.5267804094561142</v>
      </c>
      <c r="F839" s="80" t="s">
        <v>3370</v>
      </c>
      <c r="G839" s="80" t="b">
        <v>0</v>
      </c>
      <c r="H839" s="80" t="b">
        <v>0</v>
      </c>
      <c r="I839" s="80" t="b">
        <v>0</v>
      </c>
      <c r="J839" s="80" t="b">
        <v>0</v>
      </c>
      <c r="K839" s="80" t="b">
        <v>0</v>
      </c>
      <c r="L839" s="80" t="b">
        <v>0</v>
      </c>
    </row>
    <row r="840" spans="1:12" ht="15">
      <c r="A840" s="81" t="s">
        <v>2630</v>
      </c>
      <c r="B840" s="80" t="s">
        <v>2881</v>
      </c>
      <c r="C840" s="80">
        <v>2</v>
      </c>
      <c r="D840" s="104">
        <v>0.00047366098758412623</v>
      </c>
      <c r="E840" s="104">
        <v>3.315655525231531</v>
      </c>
      <c r="F840" s="80" t="s">
        <v>3370</v>
      </c>
      <c r="G840" s="80" t="b">
        <v>0</v>
      </c>
      <c r="H840" s="80" t="b">
        <v>0</v>
      </c>
      <c r="I840" s="80" t="b">
        <v>0</v>
      </c>
      <c r="J840" s="80" t="b">
        <v>0</v>
      </c>
      <c r="K840" s="80" t="b">
        <v>0</v>
      </c>
      <c r="L840" s="80" t="b">
        <v>0</v>
      </c>
    </row>
    <row r="841" spans="1:12" ht="15">
      <c r="A841" s="81" t="s">
        <v>2255</v>
      </c>
      <c r="B841" s="80" t="s">
        <v>2515</v>
      </c>
      <c r="C841" s="80">
        <v>2</v>
      </c>
      <c r="D841" s="104">
        <v>0.00047366098758412623</v>
      </c>
      <c r="E841" s="104">
        <v>2.1975562131535367</v>
      </c>
      <c r="F841" s="80" t="s">
        <v>3370</v>
      </c>
      <c r="G841" s="80" t="b">
        <v>1</v>
      </c>
      <c r="H841" s="80" t="b">
        <v>0</v>
      </c>
      <c r="I841" s="80" t="b">
        <v>0</v>
      </c>
      <c r="J841" s="80" t="b">
        <v>0</v>
      </c>
      <c r="K841" s="80" t="b">
        <v>0</v>
      </c>
      <c r="L841" s="80" t="b">
        <v>0</v>
      </c>
    </row>
    <row r="842" spans="1:12" ht="15">
      <c r="A842" s="81" t="s">
        <v>2213</v>
      </c>
      <c r="B842" s="80" t="s">
        <v>2229</v>
      </c>
      <c r="C842" s="80">
        <v>2</v>
      </c>
      <c r="D842" s="104">
        <v>0.00040173028372176515</v>
      </c>
      <c r="E842" s="104">
        <v>0.48211001453665336</v>
      </c>
      <c r="F842" s="80" t="s">
        <v>3370</v>
      </c>
      <c r="G842" s="80" t="b">
        <v>0</v>
      </c>
      <c r="H842" s="80" t="b">
        <v>0</v>
      </c>
      <c r="I842" s="80" t="b">
        <v>0</v>
      </c>
      <c r="J842" s="80" t="b">
        <v>0</v>
      </c>
      <c r="K842" s="80" t="b">
        <v>0</v>
      </c>
      <c r="L842" s="80" t="b">
        <v>0</v>
      </c>
    </row>
    <row r="843" spans="1:12" ht="15">
      <c r="A843" s="81" t="s">
        <v>3291</v>
      </c>
      <c r="B843" s="80" t="s">
        <v>3092</v>
      </c>
      <c r="C843" s="80">
        <v>2</v>
      </c>
      <c r="D843" s="104">
        <v>0.00047366098758412623</v>
      </c>
      <c r="E843" s="104">
        <v>3.616685520895512</v>
      </c>
      <c r="F843" s="80" t="s">
        <v>3370</v>
      </c>
      <c r="G843" s="80" t="b">
        <v>0</v>
      </c>
      <c r="H843" s="80" t="b">
        <v>0</v>
      </c>
      <c r="I843" s="80" t="b">
        <v>0</v>
      </c>
      <c r="J843" s="80" t="b">
        <v>0</v>
      </c>
      <c r="K843" s="80" t="b">
        <v>0</v>
      </c>
      <c r="L843" s="80" t="b">
        <v>0</v>
      </c>
    </row>
    <row r="844" spans="1:12" ht="15">
      <c r="A844" s="81" t="s">
        <v>2225</v>
      </c>
      <c r="B844" s="80" t="s">
        <v>2240</v>
      </c>
      <c r="C844" s="80">
        <v>2</v>
      </c>
      <c r="D844" s="104">
        <v>0.00040173028372176515</v>
      </c>
      <c r="E844" s="104">
        <v>1.2000450135572314</v>
      </c>
      <c r="F844" s="80" t="s">
        <v>3370</v>
      </c>
      <c r="G844" s="80" t="b">
        <v>0</v>
      </c>
      <c r="H844" s="80" t="b">
        <v>0</v>
      </c>
      <c r="I844" s="80" t="b">
        <v>0</v>
      </c>
      <c r="J844" s="80" t="b">
        <v>0</v>
      </c>
      <c r="K844" s="80" t="b">
        <v>0</v>
      </c>
      <c r="L844" s="80" t="b">
        <v>0</v>
      </c>
    </row>
    <row r="845" spans="1:12" ht="15">
      <c r="A845" s="81" t="s">
        <v>2329</v>
      </c>
      <c r="B845" s="80" t="s">
        <v>2259</v>
      </c>
      <c r="C845" s="80">
        <v>2</v>
      </c>
      <c r="D845" s="104">
        <v>0.00047366098758412623</v>
      </c>
      <c r="E845" s="104">
        <v>1.8608106652230207</v>
      </c>
      <c r="F845" s="80" t="s">
        <v>3370</v>
      </c>
      <c r="G845" s="80" t="b">
        <v>0</v>
      </c>
      <c r="H845" s="80" t="b">
        <v>0</v>
      </c>
      <c r="I845" s="80" t="b">
        <v>0</v>
      </c>
      <c r="J845" s="80" t="b">
        <v>0</v>
      </c>
      <c r="K845" s="80" t="b">
        <v>0</v>
      </c>
      <c r="L845" s="80" t="b">
        <v>0</v>
      </c>
    </row>
    <row r="846" spans="1:12" ht="15">
      <c r="A846" s="81" t="s">
        <v>2867</v>
      </c>
      <c r="B846" s="80" t="s">
        <v>2223</v>
      </c>
      <c r="C846" s="80">
        <v>2</v>
      </c>
      <c r="D846" s="104">
        <v>0.00047366098758412623</v>
      </c>
      <c r="E846" s="104">
        <v>2.0340540814058756</v>
      </c>
      <c r="F846" s="80" t="s">
        <v>3370</v>
      </c>
      <c r="G846" s="80" t="b">
        <v>0</v>
      </c>
      <c r="H846" s="80" t="b">
        <v>0</v>
      </c>
      <c r="I846" s="80" t="b">
        <v>0</v>
      </c>
      <c r="J846" s="80" t="b">
        <v>0</v>
      </c>
      <c r="K846" s="80" t="b">
        <v>0</v>
      </c>
      <c r="L846" s="80" t="b">
        <v>0</v>
      </c>
    </row>
    <row r="847" spans="1:12" ht="15">
      <c r="A847" s="81" t="s">
        <v>3161</v>
      </c>
      <c r="B847" s="80" t="s">
        <v>3345</v>
      </c>
      <c r="C847" s="80">
        <v>2</v>
      </c>
      <c r="D847" s="104">
        <v>0.00040173028372176515</v>
      </c>
      <c r="E847" s="104">
        <v>3.616685520895512</v>
      </c>
      <c r="F847" s="80" t="s">
        <v>3370</v>
      </c>
      <c r="G847" s="80" t="b">
        <v>1</v>
      </c>
      <c r="H847" s="80" t="b">
        <v>0</v>
      </c>
      <c r="I847" s="80" t="b">
        <v>0</v>
      </c>
      <c r="J847" s="80" t="b">
        <v>0</v>
      </c>
      <c r="K847" s="80" t="b">
        <v>0</v>
      </c>
      <c r="L847" s="80" t="b">
        <v>0</v>
      </c>
    </row>
    <row r="848" spans="1:12" ht="15">
      <c r="A848" s="81" t="s">
        <v>3183</v>
      </c>
      <c r="B848" s="80" t="s">
        <v>2215</v>
      </c>
      <c r="C848" s="80">
        <v>2</v>
      </c>
      <c r="D848" s="104">
        <v>0.00040173028372176515</v>
      </c>
      <c r="E848" s="104">
        <v>1.9586741242383998</v>
      </c>
      <c r="F848" s="80" t="s">
        <v>3370</v>
      </c>
      <c r="G848" s="80" t="b">
        <v>0</v>
      </c>
      <c r="H848" s="80" t="b">
        <v>0</v>
      </c>
      <c r="I848" s="80" t="b">
        <v>0</v>
      </c>
      <c r="J848" s="80" t="b">
        <v>0</v>
      </c>
      <c r="K848" s="80" t="b">
        <v>0</v>
      </c>
      <c r="L848" s="80" t="b">
        <v>0</v>
      </c>
    </row>
    <row r="849" spans="1:12" ht="15">
      <c r="A849" s="81" t="s">
        <v>2257</v>
      </c>
      <c r="B849" s="80" t="s">
        <v>2253</v>
      </c>
      <c r="C849" s="80">
        <v>2</v>
      </c>
      <c r="D849" s="104">
        <v>0.00040173028372176515</v>
      </c>
      <c r="E849" s="104">
        <v>1.554103536667349</v>
      </c>
      <c r="F849" s="80" t="s">
        <v>3370</v>
      </c>
      <c r="G849" s="80" t="b">
        <v>0</v>
      </c>
      <c r="H849" s="80" t="b">
        <v>0</v>
      </c>
      <c r="I849" s="80" t="b">
        <v>0</v>
      </c>
      <c r="J849" s="80" t="b">
        <v>0</v>
      </c>
      <c r="K849" s="80" t="b">
        <v>0</v>
      </c>
      <c r="L849" s="80" t="b">
        <v>0</v>
      </c>
    </row>
    <row r="850" spans="1:12" ht="15">
      <c r="A850" s="81" t="s">
        <v>2258</v>
      </c>
      <c r="B850" s="80" t="s">
        <v>2798</v>
      </c>
      <c r="C850" s="80">
        <v>2</v>
      </c>
      <c r="D850" s="104">
        <v>0.00040173028372176515</v>
      </c>
      <c r="E850" s="104">
        <v>2.419404962769893</v>
      </c>
      <c r="F850" s="80" t="s">
        <v>3370</v>
      </c>
      <c r="G850" s="80" t="b">
        <v>0</v>
      </c>
      <c r="H850" s="80" t="b">
        <v>0</v>
      </c>
      <c r="I850" s="80" t="b">
        <v>0</v>
      </c>
      <c r="J850" s="80" t="b">
        <v>0</v>
      </c>
      <c r="K850" s="80" t="b">
        <v>0</v>
      </c>
      <c r="L850" s="80" t="b">
        <v>0</v>
      </c>
    </row>
    <row r="851" spans="1:12" ht="15">
      <c r="A851" s="81" t="s">
        <v>2258</v>
      </c>
      <c r="B851" s="80" t="s">
        <v>2339</v>
      </c>
      <c r="C851" s="80">
        <v>2</v>
      </c>
      <c r="D851" s="104">
        <v>0.00040173028372176515</v>
      </c>
      <c r="E851" s="104">
        <v>1.8551335323313303</v>
      </c>
      <c r="F851" s="80" t="s">
        <v>3370</v>
      </c>
      <c r="G851" s="80" t="b">
        <v>0</v>
      </c>
      <c r="H851" s="80" t="b">
        <v>0</v>
      </c>
      <c r="I851" s="80" t="b">
        <v>0</v>
      </c>
      <c r="J851" s="80" t="b">
        <v>0</v>
      </c>
      <c r="K851" s="80" t="b">
        <v>0</v>
      </c>
      <c r="L851" s="80" t="b">
        <v>0</v>
      </c>
    </row>
    <row r="852" spans="1:12" ht="15">
      <c r="A852" s="81" t="s">
        <v>2259</v>
      </c>
      <c r="B852" s="80" t="s">
        <v>2213</v>
      </c>
      <c r="C852" s="80">
        <v>2</v>
      </c>
      <c r="D852" s="104">
        <v>0.00040173028372176515</v>
      </c>
      <c r="E852" s="104">
        <v>0.8608106652230209</v>
      </c>
      <c r="F852" s="80" t="s">
        <v>3370</v>
      </c>
      <c r="G852" s="80" t="b">
        <v>0</v>
      </c>
      <c r="H852" s="80" t="b">
        <v>0</v>
      </c>
      <c r="I852" s="80" t="b">
        <v>0</v>
      </c>
      <c r="J852" s="80" t="b">
        <v>0</v>
      </c>
      <c r="K852" s="80" t="b">
        <v>0</v>
      </c>
      <c r="L852" s="80" t="b">
        <v>0</v>
      </c>
    </row>
    <row r="853" spans="1:12" ht="15">
      <c r="A853" s="81" t="s">
        <v>3062</v>
      </c>
      <c r="B853" s="80" t="s">
        <v>2787</v>
      </c>
      <c r="C853" s="80">
        <v>2</v>
      </c>
      <c r="D853" s="104">
        <v>0.00040173028372176515</v>
      </c>
      <c r="E853" s="104">
        <v>3.440594261839831</v>
      </c>
      <c r="F853" s="80" t="s">
        <v>3370</v>
      </c>
      <c r="G853" s="80" t="b">
        <v>0</v>
      </c>
      <c r="H853" s="80" t="b">
        <v>0</v>
      </c>
      <c r="I853" s="80" t="b">
        <v>0</v>
      </c>
      <c r="J853" s="80" t="b">
        <v>0</v>
      </c>
      <c r="K853" s="80" t="b">
        <v>0</v>
      </c>
      <c r="L853" s="80" t="b">
        <v>0</v>
      </c>
    </row>
    <row r="854" spans="1:12" ht="15">
      <c r="A854" s="81" t="s">
        <v>3302</v>
      </c>
      <c r="B854" s="80" t="s">
        <v>3198</v>
      </c>
      <c r="C854" s="80">
        <v>2</v>
      </c>
      <c r="D854" s="104">
        <v>0.00040173028372176515</v>
      </c>
      <c r="E854" s="104">
        <v>3.616685520895512</v>
      </c>
      <c r="F854" s="80" t="s">
        <v>3370</v>
      </c>
      <c r="G854" s="80" t="b">
        <v>0</v>
      </c>
      <c r="H854" s="80" t="b">
        <v>0</v>
      </c>
      <c r="I854" s="80" t="b">
        <v>0</v>
      </c>
      <c r="J854" s="80" t="b">
        <v>0</v>
      </c>
      <c r="K854" s="80" t="b">
        <v>0</v>
      </c>
      <c r="L854" s="80" t="b">
        <v>0</v>
      </c>
    </row>
    <row r="855" spans="1:12" ht="15">
      <c r="A855" s="81" t="s">
        <v>2229</v>
      </c>
      <c r="B855" s="80" t="s">
        <v>2605</v>
      </c>
      <c r="C855" s="80">
        <v>2</v>
      </c>
      <c r="D855" s="104">
        <v>0.00040173028372176515</v>
      </c>
      <c r="E855" s="104">
        <v>2.003901664175777</v>
      </c>
      <c r="F855" s="80" t="s">
        <v>3370</v>
      </c>
      <c r="G855" s="80" t="b">
        <v>0</v>
      </c>
      <c r="H855" s="80" t="b">
        <v>0</v>
      </c>
      <c r="I855" s="80" t="b">
        <v>0</v>
      </c>
      <c r="J855" s="80" t="b">
        <v>0</v>
      </c>
      <c r="K855" s="80" t="b">
        <v>0</v>
      </c>
      <c r="L855" s="80" t="b">
        <v>0</v>
      </c>
    </row>
    <row r="856" spans="1:12" ht="15">
      <c r="A856" s="81" t="s">
        <v>2270</v>
      </c>
      <c r="B856" s="80" t="s">
        <v>2676</v>
      </c>
      <c r="C856" s="80">
        <v>2</v>
      </c>
      <c r="D856" s="104">
        <v>0.00040173028372176515</v>
      </c>
      <c r="E856" s="104">
        <v>2.3862365995172383</v>
      </c>
      <c r="F856" s="80" t="s">
        <v>3370</v>
      </c>
      <c r="G856" s="80" t="b">
        <v>0</v>
      </c>
      <c r="H856" s="80" t="b">
        <v>0</v>
      </c>
      <c r="I856" s="80" t="b">
        <v>0</v>
      </c>
      <c r="J856" s="80" t="b">
        <v>0</v>
      </c>
      <c r="K856" s="80" t="b">
        <v>0</v>
      </c>
      <c r="L856" s="80" t="b">
        <v>0</v>
      </c>
    </row>
    <row r="857" spans="1:12" ht="15">
      <c r="A857" s="81" t="s">
        <v>3126</v>
      </c>
      <c r="B857" s="80" t="s">
        <v>2276</v>
      </c>
      <c r="C857" s="80">
        <v>2</v>
      </c>
      <c r="D857" s="104">
        <v>0.00040173028372176515</v>
      </c>
      <c r="E857" s="104">
        <v>2.7135955339035687</v>
      </c>
      <c r="F857" s="80" t="s">
        <v>3370</v>
      </c>
      <c r="G857" s="80" t="b">
        <v>0</v>
      </c>
      <c r="H857" s="80" t="b">
        <v>0</v>
      </c>
      <c r="I857" s="80" t="b">
        <v>0</v>
      </c>
      <c r="J857" s="80" t="b">
        <v>0</v>
      </c>
      <c r="K857" s="80" t="b">
        <v>0</v>
      </c>
      <c r="L857" s="80" t="b">
        <v>0</v>
      </c>
    </row>
    <row r="858" spans="1:12" ht="15">
      <c r="A858" s="81" t="s">
        <v>2677</v>
      </c>
      <c r="B858" s="80" t="s">
        <v>3064</v>
      </c>
      <c r="C858" s="80">
        <v>2</v>
      </c>
      <c r="D858" s="104">
        <v>0.00040173028372176515</v>
      </c>
      <c r="E858" s="104">
        <v>3.315655525231531</v>
      </c>
      <c r="F858" s="80" t="s">
        <v>3370</v>
      </c>
      <c r="G858" s="80" t="b">
        <v>0</v>
      </c>
      <c r="H858" s="80" t="b">
        <v>0</v>
      </c>
      <c r="I858" s="80" t="b">
        <v>0</v>
      </c>
      <c r="J858" s="80" t="b">
        <v>0</v>
      </c>
      <c r="K858" s="80" t="b">
        <v>0</v>
      </c>
      <c r="L858" s="80" t="b">
        <v>0</v>
      </c>
    </row>
    <row r="859" spans="1:12" ht="15">
      <c r="A859" s="81" t="s">
        <v>3086</v>
      </c>
      <c r="B859" s="80" t="s">
        <v>2682</v>
      </c>
      <c r="C859" s="80">
        <v>2</v>
      </c>
      <c r="D859" s="104">
        <v>0.00040173028372176515</v>
      </c>
      <c r="E859" s="104">
        <v>3.315655525231531</v>
      </c>
      <c r="F859" s="80" t="s">
        <v>3370</v>
      </c>
      <c r="G859" s="80" t="b">
        <v>0</v>
      </c>
      <c r="H859" s="80" t="b">
        <v>0</v>
      </c>
      <c r="I859" s="80" t="b">
        <v>0</v>
      </c>
      <c r="J859" s="80" t="b">
        <v>0</v>
      </c>
      <c r="K859" s="80" t="b">
        <v>0</v>
      </c>
      <c r="L859" s="80" t="b">
        <v>0</v>
      </c>
    </row>
    <row r="860" spans="1:12" ht="15">
      <c r="A860" s="81" t="s">
        <v>2354</v>
      </c>
      <c r="B860" s="80" t="s">
        <v>3362</v>
      </c>
      <c r="C860" s="80">
        <v>2</v>
      </c>
      <c r="D860" s="104">
        <v>0.00040173028372176515</v>
      </c>
      <c r="E860" s="104">
        <v>2.9634730071201685</v>
      </c>
      <c r="F860" s="80" t="s">
        <v>3370</v>
      </c>
      <c r="G860" s="80" t="b">
        <v>0</v>
      </c>
      <c r="H860" s="80" t="b">
        <v>0</v>
      </c>
      <c r="I860" s="80" t="b">
        <v>0</v>
      </c>
      <c r="J860" s="80" t="b">
        <v>0</v>
      </c>
      <c r="K860" s="80" t="b">
        <v>0</v>
      </c>
      <c r="L860" s="80" t="b">
        <v>0</v>
      </c>
    </row>
    <row r="861" spans="1:12" ht="15">
      <c r="A861" s="81" t="s">
        <v>2269</v>
      </c>
      <c r="B861" s="80" t="s">
        <v>2630</v>
      </c>
      <c r="C861" s="80">
        <v>2</v>
      </c>
      <c r="D861" s="104">
        <v>0.00040173028372176515</v>
      </c>
      <c r="E861" s="104">
        <v>2.3862365995172383</v>
      </c>
      <c r="F861" s="80" t="s">
        <v>3370</v>
      </c>
      <c r="G861" s="80" t="b">
        <v>0</v>
      </c>
      <c r="H861" s="80" t="b">
        <v>0</v>
      </c>
      <c r="I861" s="80" t="b">
        <v>0</v>
      </c>
      <c r="J861" s="80" t="b">
        <v>0</v>
      </c>
      <c r="K861" s="80" t="b">
        <v>0</v>
      </c>
      <c r="L861" s="80" t="b">
        <v>0</v>
      </c>
    </row>
    <row r="862" spans="1:12" ht="15">
      <c r="A862" s="81" t="s">
        <v>2546</v>
      </c>
      <c r="B862" s="80" t="s">
        <v>2216</v>
      </c>
      <c r="C862" s="80">
        <v>2</v>
      </c>
      <c r="D862" s="104">
        <v>0.00040173028372176515</v>
      </c>
      <c r="E862" s="104">
        <v>1.6059616555037393</v>
      </c>
      <c r="F862" s="80" t="s">
        <v>3370</v>
      </c>
      <c r="G862" s="80" t="b">
        <v>1</v>
      </c>
      <c r="H862" s="80" t="b">
        <v>0</v>
      </c>
      <c r="I862" s="80" t="b">
        <v>0</v>
      </c>
      <c r="J862" s="80" t="b">
        <v>0</v>
      </c>
      <c r="K862" s="80" t="b">
        <v>0</v>
      </c>
      <c r="L862" s="80" t="b">
        <v>0</v>
      </c>
    </row>
    <row r="863" spans="1:12" ht="15">
      <c r="A863" s="81" t="s">
        <v>2232</v>
      </c>
      <c r="B863" s="80" t="s">
        <v>2230</v>
      </c>
      <c r="C863" s="80">
        <v>2</v>
      </c>
      <c r="D863" s="104">
        <v>0.00040173028372176515</v>
      </c>
      <c r="E863" s="104">
        <v>1.0874477156258517</v>
      </c>
      <c r="F863" s="80" t="s">
        <v>3370</v>
      </c>
      <c r="G863" s="80" t="b">
        <v>0</v>
      </c>
      <c r="H863" s="80" t="b">
        <v>0</v>
      </c>
      <c r="I863" s="80" t="b">
        <v>0</v>
      </c>
      <c r="J863" s="80" t="b">
        <v>0</v>
      </c>
      <c r="K863" s="80" t="b">
        <v>0</v>
      </c>
      <c r="L863" s="80" t="b">
        <v>0</v>
      </c>
    </row>
    <row r="864" spans="1:12" ht="15">
      <c r="A864" s="81" t="s">
        <v>2253</v>
      </c>
      <c r="B864" s="80" t="s">
        <v>2316</v>
      </c>
      <c r="C864" s="80">
        <v>2</v>
      </c>
      <c r="D864" s="104">
        <v>0.00040173028372176515</v>
      </c>
      <c r="E864" s="104">
        <v>1.7623794790944316</v>
      </c>
      <c r="F864" s="80" t="s">
        <v>3370</v>
      </c>
      <c r="G864" s="80" t="b">
        <v>0</v>
      </c>
      <c r="H864" s="80" t="b">
        <v>0</v>
      </c>
      <c r="I864" s="80" t="b">
        <v>0</v>
      </c>
      <c r="J864" s="80" t="b">
        <v>0</v>
      </c>
      <c r="K864" s="80" t="b">
        <v>0</v>
      </c>
      <c r="L864" s="80" t="b">
        <v>0</v>
      </c>
    </row>
    <row r="865" spans="1:12" ht="15">
      <c r="A865" s="81" t="s">
        <v>3238</v>
      </c>
      <c r="B865" s="80" t="s">
        <v>2222</v>
      </c>
      <c r="C865" s="80">
        <v>2</v>
      </c>
      <c r="D865" s="104">
        <v>0.00040173028372176515</v>
      </c>
      <c r="E865" s="104">
        <v>2.210145340461557</v>
      </c>
      <c r="F865" s="80" t="s">
        <v>3370</v>
      </c>
      <c r="G865" s="80" t="b">
        <v>0</v>
      </c>
      <c r="H865" s="80" t="b">
        <v>0</v>
      </c>
      <c r="I865" s="80" t="b">
        <v>0</v>
      </c>
      <c r="J865" s="80" t="b">
        <v>0</v>
      </c>
      <c r="K865" s="80" t="b">
        <v>0</v>
      </c>
      <c r="L865" s="80" t="b">
        <v>0</v>
      </c>
    </row>
    <row r="866" spans="1:12" ht="15">
      <c r="A866" s="81" t="s">
        <v>2805</v>
      </c>
      <c r="B866" s="80" t="s">
        <v>2525</v>
      </c>
      <c r="C866" s="80">
        <v>2</v>
      </c>
      <c r="D866" s="104">
        <v>0.00040173028372176515</v>
      </c>
      <c r="E866" s="104">
        <v>3.042654253167793</v>
      </c>
      <c r="F866" s="80" t="s">
        <v>3370</v>
      </c>
      <c r="G866" s="80" t="b">
        <v>0</v>
      </c>
      <c r="H866" s="80" t="b">
        <v>0</v>
      </c>
      <c r="I866" s="80" t="b">
        <v>0</v>
      </c>
      <c r="J866" s="80" t="b">
        <v>0</v>
      </c>
      <c r="K866" s="80" t="b">
        <v>0</v>
      </c>
      <c r="L866" s="80" t="b">
        <v>0</v>
      </c>
    </row>
    <row r="867" spans="1:12" ht="15">
      <c r="A867" s="81" t="s">
        <v>2359</v>
      </c>
      <c r="B867" s="80" t="s">
        <v>3021</v>
      </c>
      <c r="C867" s="80">
        <v>2</v>
      </c>
      <c r="D867" s="104">
        <v>0.00040173028372176515</v>
      </c>
      <c r="E867" s="104">
        <v>2.9634730071201685</v>
      </c>
      <c r="F867" s="80" t="s">
        <v>3370</v>
      </c>
      <c r="G867" s="80" t="b">
        <v>0</v>
      </c>
      <c r="H867" s="80" t="b">
        <v>0</v>
      </c>
      <c r="I867" s="80" t="b">
        <v>0</v>
      </c>
      <c r="J867" s="80" t="b">
        <v>0</v>
      </c>
      <c r="K867" s="80" t="b">
        <v>0</v>
      </c>
      <c r="L867" s="80" t="b">
        <v>0</v>
      </c>
    </row>
    <row r="868" spans="1:12" ht="15">
      <c r="A868" s="81" t="s">
        <v>2259</v>
      </c>
      <c r="B868" s="80" t="s">
        <v>2807</v>
      </c>
      <c r="C868" s="80">
        <v>2</v>
      </c>
      <c r="D868" s="104">
        <v>0.00047366098758412623</v>
      </c>
      <c r="E868" s="104">
        <v>2.440594261839831</v>
      </c>
      <c r="F868" s="80" t="s">
        <v>3370</v>
      </c>
      <c r="G868" s="80" t="b">
        <v>0</v>
      </c>
      <c r="H868" s="80" t="b">
        <v>0</v>
      </c>
      <c r="I868" s="80" t="b">
        <v>0</v>
      </c>
      <c r="J868" s="80" t="b">
        <v>0</v>
      </c>
      <c r="K868" s="80" t="b">
        <v>0</v>
      </c>
      <c r="L868" s="80" t="b">
        <v>0</v>
      </c>
    </row>
    <row r="869" spans="1:12" ht="15">
      <c r="A869" s="81" t="s">
        <v>2764</v>
      </c>
      <c r="B869" s="80" t="s">
        <v>2235</v>
      </c>
      <c r="C869" s="80">
        <v>2</v>
      </c>
      <c r="D869" s="104">
        <v>0.00040173028372176515</v>
      </c>
      <c r="E869" s="104">
        <v>2.236474279183906</v>
      </c>
      <c r="F869" s="80" t="s">
        <v>3370</v>
      </c>
      <c r="G869" s="80" t="b">
        <v>0</v>
      </c>
      <c r="H869" s="80" t="b">
        <v>0</v>
      </c>
      <c r="I869" s="80" t="b">
        <v>0</v>
      </c>
      <c r="J869" s="80" t="b">
        <v>0</v>
      </c>
      <c r="K869" s="80" t="b">
        <v>0</v>
      </c>
      <c r="L869" s="80" t="b">
        <v>0</v>
      </c>
    </row>
    <row r="870" spans="1:12" ht="15">
      <c r="A870" s="81" t="s">
        <v>2339</v>
      </c>
      <c r="B870" s="80" t="s">
        <v>2892</v>
      </c>
      <c r="C870" s="80">
        <v>2</v>
      </c>
      <c r="D870" s="104">
        <v>0.00047366098758412623</v>
      </c>
      <c r="E870" s="104">
        <v>2.8763228314012683</v>
      </c>
      <c r="F870" s="80" t="s">
        <v>3370</v>
      </c>
      <c r="G870" s="80" t="b">
        <v>0</v>
      </c>
      <c r="H870" s="80" t="b">
        <v>0</v>
      </c>
      <c r="I870" s="80" t="b">
        <v>0</v>
      </c>
      <c r="J870" s="80" t="b">
        <v>0</v>
      </c>
      <c r="K870" s="80" t="b">
        <v>0</v>
      </c>
      <c r="L870" s="80" t="b">
        <v>0</v>
      </c>
    </row>
    <row r="871" spans="1:12" ht="15">
      <c r="A871" s="81" t="s">
        <v>2371</v>
      </c>
      <c r="B871" s="80" t="s">
        <v>3000</v>
      </c>
      <c r="C871" s="80">
        <v>2</v>
      </c>
      <c r="D871" s="104">
        <v>0.00040173028372176515</v>
      </c>
      <c r="E871" s="104">
        <v>3.01462552956755</v>
      </c>
      <c r="F871" s="80" t="s">
        <v>3370</v>
      </c>
      <c r="G871" s="80" t="b">
        <v>0</v>
      </c>
      <c r="H871" s="80" t="b">
        <v>0</v>
      </c>
      <c r="I871" s="80" t="b">
        <v>0</v>
      </c>
      <c r="J871" s="80" t="b">
        <v>0</v>
      </c>
      <c r="K871" s="80" t="b">
        <v>0</v>
      </c>
      <c r="L871" s="80" t="b">
        <v>0</v>
      </c>
    </row>
    <row r="872" spans="1:12" ht="15">
      <c r="A872" s="81" t="s">
        <v>2277</v>
      </c>
      <c r="B872" s="80" t="s">
        <v>2784</v>
      </c>
      <c r="C872" s="80">
        <v>2</v>
      </c>
      <c r="D872" s="104">
        <v>0.00047366098758412623</v>
      </c>
      <c r="E872" s="104">
        <v>2.5375042748478873</v>
      </c>
      <c r="F872" s="80" t="s">
        <v>3370</v>
      </c>
      <c r="G872" s="80" t="b">
        <v>0</v>
      </c>
      <c r="H872" s="80" t="b">
        <v>0</v>
      </c>
      <c r="I872" s="80" t="b">
        <v>0</v>
      </c>
      <c r="J872" s="80" t="b">
        <v>0</v>
      </c>
      <c r="K872" s="80" t="b">
        <v>0</v>
      </c>
      <c r="L872" s="80" t="b">
        <v>0</v>
      </c>
    </row>
    <row r="873" spans="1:12" ht="15">
      <c r="A873" s="81" t="s">
        <v>2232</v>
      </c>
      <c r="B873" s="80" t="s">
        <v>2646</v>
      </c>
      <c r="C873" s="80">
        <v>2</v>
      </c>
      <c r="D873" s="104">
        <v>0.00040173028372176515</v>
      </c>
      <c r="E873" s="104">
        <v>2.098171581017625</v>
      </c>
      <c r="F873" s="80" t="s">
        <v>3370</v>
      </c>
      <c r="G873" s="80" t="b">
        <v>0</v>
      </c>
      <c r="H873" s="80" t="b">
        <v>0</v>
      </c>
      <c r="I873" s="80" t="b">
        <v>0</v>
      </c>
      <c r="J873" s="80" t="b">
        <v>0</v>
      </c>
      <c r="K873" s="80" t="b">
        <v>0</v>
      </c>
      <c r="L873" s="80" t="b">
        <v>0</v>
      </c>
    </row>
    <row r="874" spans="1:12" ht="15">
      <c r="A874" s="81" t="s">
        <v>2363</v>
      </c>
      <c r="B874" s="80" t="s">
        <v>2591</v>
      </c>
      <c r="C874" s="80">
        <v>2</v>
      </c>
      <c r="D874" s="104">
        <v>0.00040173028372176515</v>
      </c>
      <c r="E874" s="104">
        <v>2.6624430114561872</v>
      </c>
      <c r="F874" s="80" t="s">
        <v>3370</v>
      </c>
      <c r="G874" s="80" t="b">
        <v>0</v>
      </c>
      <c r="H874" s="80" t="b">
        <v>0</v>
      </c>
      <c r="I874" s="80" t="b">
        <v>0</v>
      </c>
      <c r="J874" s="80" t="b">
        <v>0</v>
      </c>
      <c r="K874" s="80" t="b">
        <v>0</v>
      </c>
      <c r="L874" s="80" t="b">
        <v>0</v>
      </c>
    </row>
    <row r="875" spans="1:12" ht="15">
      <c r="A875" s="81" t="s">
        <v>2227</v>
      </c>
      <c r="B875" s="80" t="s">
        <v>2880</v>
      </c>
      <c r="C875" s="80">
        <v>2</v>
      </c>
      <c r="D875" s="104">
        <v>0.00047366098758412623</v>
      </c>
      <c r="E875" s="104">
        <v>2.098171581017625</v>
      </c>
      <c r="F875" s="80" t="s">
        <v>3370</v>
      </c>
      <c r="G875" s="80" t="b">
        <v>0</v>
      </c>
      <c r="H875" s="80" t="b">
        <v>0</v>
      </c>
      <c r="I875" s="80" t="b">
        <v>0</v>
      </c>
      <c r="J875" s="80" t="b">
        <v>0</v>
      </c>
      <c r="K875" s="80" t="b">
        <v>0</v>
      </c>
      <c r="L875" s="80" t="b">
        <v>0</v>
      </c>
    </row>
    <row r="876" spans="1:12" ht="15">
      <c r="A876" s="81" t="s">
        <v>2795</v>
      </c>
      <c r="B876" s="80" t="s">
        <v>2669</v>
      </c>
      <c r="C876" s="80">
        <v>2</v>
      </c>
      <c r="D876" s="104">
        <v>0.00040173028372176515</v>
      </c>
      <c r="E876" s="104">
        <v>3.13956426617585</v>
      </c>
      <c r="F876" s="80" t="s">
        <v>3370</v>
      </c>
      <c r="G876" s="80" t="b">
        <v>0</v>
      </c>
      <c r="H876" s="80" t="b">
        <v>0</v>
      </c>
      <c r="I876" s="80" t="b">
        <v>0</v>
      </c>
      <c r="J876" s="80" t="b">
        <v>0</v>
      </c>
      <c r="K876" s="80" t="b">
        <v>0</v>
      </c>
      <c r="L876" s="80" t="b">
        <v>0</v>
      </c>
    </row>
    <row r="877" spans="1:12" ht="15">
      <c r="A877" s="81" t="s">
        <v>3345</v>
      </c>
      <c r="B877" s="80" t="s">
        <v>2296</v>
      </c>
      <c r="C877" s="80">
        <v>2</v>
      </c>
      <c r="D877" s="104">
        <v>0.00040173028372176515</v>
      </c>
      <c r="E877" s="104">
        <v>2.7715874808812555</v>
      </c>
      <c r="F877" s="80" t="s">
        <v>3370</v>
      </c>
      <c r="G877" s="80" t="b">
        <v>0</v>
      </c>
      <c r="H877" s="80" t="b">
        <v>0</v>
      </c>
      <c r="I877" s="80" t="b">
        <v>0</v>
      </c>
      <c r="J877" s="80" t="b">
        <v>0</v>
      </c>
      <c r="K877" s="80" t="b">
        <v>0</v>
      </c>
      <c r="L877" s="80" t="b">
        <v>0</v>
      </c>
    </row>
    <row r="878" spans="1:12" ht="15">
      <c r="A878" s="81" t="s">
        <v>2223</v>
      </c>
      <c r="B878" s="80" t="s">
        <v>2332</v>
      </c>
      <c r="C878" s="80">
        <v>2</v>
      </c>
      <c r="D878" s="104">
        <v>0.00040173028372176515</v>
      </c>
      <c r="E878" s="104">
        <v>1.469782650967313</v>
      </c>
      <c r="F878" s="80" t="s">
        <v>3370</v>
      </c>
      <c r="G878" s="80" t="b">
        <v>0</v>
      </c>
      <c r="H878" s="80" t="b">
        <v>0</v>
      </c>
      <c r="I878" s="80" t="b">
        <v>0</v>
      </c>
      <c r="J878" s="80" t="b">
        <v>0</v>
      </c>
      <c r="K878" s="80" t="b">
        <v>0</v>
      </c>
      <c r="L878" s="80" t="b">
        <v>0</v>
      </c>
    </row>
    <row r="879" spans="1:12" ht="15">
      <c r="A879" s="81" t="s">
        <v>2716</v>
      </c>
      <c r="B879" s="80" t="s">
        <v>2622</v>
      </c>
      <c r="C879" s="80">
        <v>2</v>
      </c>
      <c r="D879" s="104">
        <v>0.00047366098758412623</v>
      </c>
      <c r="E879" s="104">
        <v>3.13956426617585</v>
      </c>
      <c r="F879" s="80" t="s">
        <v>3370</v>
      </c>
      <c r="G879" s="80" t="b">
        <v>0</v>
      </c>
      <c r="H879" s="80" t="b">
        <v>0</v>
      </c>
      <c r="I879" s="80" t="b">
        <v>0</v>
      </c>
      <c r="J879" s="80" t="b">
        <v>0</v>
      </c>
      <c r="K879" s="80" t="b">
        <v>0</v>
      </c>
      <c r="L879" s="80" t="b">
        <v>0</v>
      </c>
    </row>
    <row r="880" spans="1:12" ht="15">
      <c r="A880" s="81" t="s">
        <v>2736</v>
      </c>
      <c r="B880" s="80" t="s">
        <v>3298</v>
      </c>
      <c r="C880" s="80">
        <v>2</v>
      </c>
      <c r="D880" s="104">
        <v>0.00047366098758412623</v>
      </c>
      <c r="E880" s="104">
        <v>3.440594261839831</v>
      </c>
      <c r="F880" s="80" t="s">
        <v>3370</v>
      </c>
      <c r="G880" s="80" t="b">
        <v>0</v>
      </c>
      <c r="H880" s="80" t="b">
        <v>0</v>
      </c>
      <c r="I880" s="80" t="b">
        <v>0</v>
      </c>
      <c r="J880" s="80" t="b">
        <v>0</v>
      </c>
      <c r="K880" s="80" t="b">
        <v>0</v>
      </c>
      <c r="L880" s="80" t="b">
        <v>0</v>
      </c>
    </row>
    <row r="881" spans="1:12" ht="15">
      <c r="A881" s="81" t="s">
        <v>2319</v>
      </c>
      <c r="B881" s="80" t="s">
        <v>2262</v>
      </c>
      <c r="C881" s="80">
        <v>2</v>
      </c>
      <c r="D881" s="104">
        <v>0.00047366098758412623</v>
      </c>
      <c r="E881" s="104">
        <v>1.826048558963809</v>
      </c>
      <c r="F881" s="80" t="s">
        <v>3370</v>
      </c>
      <c r="G881" s="80" t="b">
        <v>0</v>
      </c>
      <c r="H881" s="80" t="b">
        <v>0</v>
      </c>
      <c r="I881" s="80" t="b">
        <v>0</v>
      </c>
      <c r="J881" s="80" t="b">
        <v>0</v>
      </c>
      <c r="K881" s="80" t="b">
        <v>0</v>
      </c>
      <c r="L881" s="80" t="b">
        <v>0</v>
      </c>
    </row>
    <row r="882" spans="1:12" ht="15">
      <c r="A882" s="81" t="s">
        <v>2321</v>
      </c>
      <c r="B882" s="80" t="s">
        <v>2397</v>
      </c>
      <c r="C882" s="80">
        <v>2</v>
      </c>
      <c r="D882" s="104">
        <v>0.00040173028372176515</v>
      </c>
      <c r="E882" s="104">
        <v>2.294466226161593</v>
      </c>
      <c r="F882" s="80" t="s">
        <v>3370</v>
      </c>
      <c r="G882" s="80" t="b">
        <v>0</v>
      </c>
      <c r="H882" s="80" t="b">
        <v>0</v>
      </c>
      <c r="I882" s="80" t="b">
        <v>0</v>
      </c>
      <c r="J882" s="80" t="b">
        <v>0</v>
      </c>
      <c r="K882" s="80" t="b">
        <v>0</v>
      </c>
      <c r="L882" s="80" t="b">
        <v>0</v>
      </c>
    </row>
    <row r="883" spans="1:12" ht="15">
      <c r="A883" s="81" t="s">
        <v>2821</v>
      </c>
      <c r="B883" s="80" t="s">
        <v>2217</v>
      </c>
      <c r="C883" s="80">
        <v>2</v>
      </c>
      <c r="D883" s="104">
        <v>0.00040173028372176515</v>
      </c>
      <c r="E883" s="104">
        <v>1.909115344797576</v>
      </c>
      <c r="F883" s="80" t="s">
        <v>3370</v>
      </c>
      <c r="G883" s="80" t="b">
        <v>0</v>
      </c>
      <c r="H883" s="80" t="b">
        <v>0</v>
      </c>
      <c r="I883" s="80" t="b">
        <v>0</v>
      </c>
      <c r="J883" s="80" t="b">
        <v>0</v>
      </c>
      <c r="K883" s="80" t="b">
        <v>0</v>
      </c>
      <c r="L883" s="80" t="b">
        <v>0</v>
      </c>
    </row>
    <row r="884" spans="1:12" ht="15">
      <c r="A884" s="81" t="s">
        <v>3053</v>
      </c>
      <c r="B884" s="80" t="s">
        <v>2466</v>
      </c>
      <c r="C884" s="80">
        <v>2</v>
      </c>
      <c r="D884" s="104">
        <v>0.00047366098758412623</v>
      </c>
      <c r="E884" s="104">
        <v>3.13956426617585</v>
      </c>
      <c r="F884" s="80" t="s">
        <v>3370</v>
      </c>
      <c r="G884" s="80" t="b">
        <v>0</v>
      </c>
      <c r="H884" s="80" t="b">
        <v>0</v>
      </c>
      <c r="I884" s="80" t="b">
        <v>0</v>
      </c>
      <c r="J884" s="80" t="b">
        <v>0</v>
      </c>
      <c r="K884" s="80" t="b">
        <v>0</v>
      </c>
      <c r="L884" s="80" t="b">
        <v>0</v>
      </c>
    </row>
    <row r="885" spans="1:12" ht="15">
      <c r="A885" s="81" t="s">
        <v>3364</v>
      </c>
      <c r="B885" s="80" t="s">
        <v>2252</v>
      </c>
      <c r="C885" s="80">
        <v>2</v>
      </c>
      <c r="D885" s="104">
        <v>0.00040173028372176515</v>
      </c>
      <c r="E885" s="104">
        <v>2.575292835737287</v>
      </c>
      <c r="F885" s="80" t="s">
        <v>3370</v>
      </c>
      <c r="G885" s="80" t="b">
        <v>0</v>
      </c>
      <c r="H885" s="80" t="b">
        <v>0</v>
      </c>
      <c r="I885" s="80" t="b">
        <v>0</v>
      </c>
      <c r="J885" s="80" t="b">
        <v>0</v>
      </c>
      <c r="K885" s="80" t="b">
        <v>0</v>
      </c>
      <c r="L885" s="80" t="b">
        <v>0</v>
      </c>
    </row>
    <row r="886" spans="1:12" ht="15">
      <c r="A886" s="81" t="s">
        <v>2584</v>
      </c>
      <c r="B886" s="80" t="s">
        <v>3230</v>
      </c>
      <c r="C886" s="80">
        <v>2</v>
      </c>
      <c r="D886" s="104">
        <v>0.00040173028372176515</v>
      </c>
      <c r="E886" s="104">
        <v>3.315655525231531</v>
      </c>
      <c r="F886" s="80" t="s">
        <v>3370</v>
      </c>
      <c r="G886" s="80" t="b">
        <v>0</v>
      </c>
      <c r="H886" s="80" t="b">
        <v>0</v>
      </c>
      <c r="I886" s="80" t="b">
        <v>0</v>
      </c>
      <c r="J886" s="80" t="b">
        <v>0</v>
      </c>
      <c r="K886" s="80" t="b">
        <v>0</v>
      </c>
      <c r="L886" s="80" t="b">
        <v>0</v>
      </c>
    </row>
    <row r="887" spans="1:12" ht="15">
      <c r="A887" s="81" t="s">
        <v>2882</v>
      </c>
      <c r="B887" s="80" t="s">
        <v>2475</v>
      </c>
      <c r="C887" s="80">
        <v>2</v>
      </c>
      <c r="D887" s="104">
        <v>0.00040173028372176515</v>
      </c>
      <c r="E887" s="104">
        <v>3.13956426617585</v>
      </c>
      <c r="F887" s="80" t="s">
        <v>3370</v>
      </c>
      <c r="G887" s="80" t="b">
        <v>0</v>
      </c>
      <c r="H887" s="80" t="b">
        <v>0</v>
      </c>
      <c r="I887" s="80" t="b">
        <v>0</v>
      </c>
      <c r="J887" s="80" t="b">
        <v>0</v>
      </c>
      <c r="K887" s="80" t="b">
        <v>0</v>
      </c>
      <c r="L887" s="80" t="b">
        <v>0</v>
      </c>
    </row>
    <row r="888" spans="1:12" ht="15">
      <c r="A888" s="81" t="s">
        <v>2246</v>
      </c>
      <c r="B888" s="80" t="s">
        <v>2233</v>
      </c>
      <c r="C888" s="80">
        <v>2</v>
      </c>
      <c r="D888" s="104">
        <v>0.00040173028372176515</v>
      </c>
      <c r="E888" s="104">
        <v>1.320020330633981</v>
      </c>
      <c r="F888" s="80" t="s">
        <v>3370</v>
      </c>
      <c r="G888" s="80" t="b">
        <v>0</v>
      </c>
      <c r="H888" s="80" t="b">
        <v>0</v>
      </c>
      <c r="I888" s="80" t="b">
        <v>0</v>
      </c>
      <c r="J888" s="80" t="b">
        <v>0</v>
      </c>
      <c r="K888" s="80" t="b">
        <v>0</v>
      </c>
      <c r="L888" s="80" t="b">
        <v>0</v>
      </c>
    </row>
    <row r="889" spans="1:12" ht="15">
      <c r="A889" s="81" t="s">
        <v>2410</v>
      </c>
      <c r="B889" s="80" t="s">
        <v>2272</v>
      </c>
      <c r="C889" s="80">
        <v>2</v>
      </c>
      <c r="D889" s="104">
        <v>0.00040173028372176515</v>
      </c>
      <c r="E889" s="104">
        <v>2.169527489553293</v>
      </c>
      <c r="F889" s="80" t="s">
        <v>3370</v>
      </c>
      <c r="G889" s="80" t="b">
        <v>0</v>
      </c>
      <c r="H889" s="80" t="b">
        <v>0</v>
      </c>
      <c r="I889" s="80" t="b">
        <v>0</v>
      </c>
      <c r="J889" s="80" t="b">
        <v>0</v>
      </c>
      <c r="K889" s="80" t="b">
        <v>0</v>
      </c>
      <c r="L889" s="80" t="b">
        <v>0</v>
      </c>
    </row>
    <row r="890" spans="1:12" ht="15">
      <c r="A890" s="81" t="s">
        <v>2233</v>
      </c>
      <c r="B890" s="80" t="s">
        <v>2221</v>
      </c>
      <c r="C890" s="80">
        <v>2</v>
      </c>
      <c r="D890" s="104">
        <v>0.00040173028372176515</v>
      </c>
      <c r="E890" s="104">
        <v>1.017348387903023</v>
      </c>
      <c r="F890" s="80" t="s">
        <v>3370</v>
      </c>
      <c r="G890" s="80" t="b">
        <v>0</v>
      </c>
      <c r="H890" s="80" t="b">
        <v>0</v>
      </c>
      <c r="I890" s="80" t="b">
        <v>0</v>
      </c>
      <c r="J890" s="80" t="b">
        <v>0</v>
      </c>
      <c r="K890" s="80" t="b">
        <v>0</v>
      </c>
      <c r="L890" s="80" t="b">
        <v>0</v>
      </c>
    </row>
    <row r="891" spans="1:12" ht="15">
      <c r="A891" s="81" t="s">
        <v>2310</v>
      </c>
      <c r="B891" s="80" t="s">
        <v>2221</v>
      </c>
      <c r="C891" s="80">
        <v>2</v>
      </c>
      <c r="D891" s="104">
        <v>0.00040173028372176515</v>
      </c>
      <c r="E891" s="104">
        <v>1.3805262903158488</v>
      </c>
      <c r="F891" s="80" t="s">
        <v>3370</v>
      </c>
      <c r="G891" s="80" t="b">
        <v>0</v>
      </c>
      <c r="H891" s="80" t="b">
        <v>0</v>
      </c>
      <c r="I891" s="80" t="b">
        <v>0</v>
      </c>
      <c r="J891" s="80" t="b">
        <v>0</v>
      </c>
      <c r="K891" s="80" t="b">
        <v>0</v>
      </c>
      <c r="L891" s="80" t="b">
        <v>0</v>
      </c>
    </row>
    <row r="892" spans="1:12" ht="15">
      <c r="A892" s="81" t="s">
        <v>2266</v>
      </c>
      <c r="B892" s="80" t="s">
        <v>2285</v>
      </c>
      <c r="C892" s="80">
        <v>2</v>
      </c>
      <c r="D892" s="104">
        <v>0.00040173028372176515</v>
      </c>
      <c r="E892" s="104">
        <v>1.7873817480644874</v>
      </c>
      <c r="F892" s="80" t="s">
        <v>3370</v>
      </c>
      <c r="G892" s="80" t="b">
        <v>0</v>
      </c>
      <c r="H892" s="80" t="b">
        <v>0</v>
      </c>
      <c r="I892" s="80" t="b">
        <v>0</v>
      </c>
      <c r="J892" s="80" t="b">
        <v>0</v>
      </c>
      <c r="K892" s="80" t="b">
        <v>0</v>
      </c>
      <c r="L892" s="80" t="b">
        <v>0</v>
      </c>
    </row>
    <row r="893" spans="1:12" ht="15">
      <c r="A893" s="81" t="s">
        <v>2459</v>
      </c>
      <c r="B893" s="80" t="s">
        <v>2630</v>
      </c>
      <c r="C893" s="80">
        <v>2</v>
      </c>
      <c r="D893" s="104">
        <v>0.00047366098758412623</v>
      </c>
      <c r="E893" s="104">
        <v>2.8385342705118686</v>
      </c>
      <c r="F893" s="80" t="s">
        <v>3370</v>
      </c>
      <c r="G893" s="80" t="b">
        <v>0</v>
      </c>
      <c r="H893" s="80" t="b">
        <v>0</v>
      </c>
      <c r="I893" s="80" t="b">
        <v>0</v>
      </c>
      <c r="J893" s="80" t="b">
        <v>0</v>
      </c>
      <c r="K893" s="80" t="b">
        <v>0</v>
      </c>
      <c r="L893" s="80" t="b">
        <v>0</v>
      </c>
    </row>
    <row r="894" spans="1:12" ht="15">
      <c r="A894" s="81" t="s">
        <v>2213</v>
      </c>
      <c r="B894" s="80" t="s">
        <v>2214</v>
      </c>
      <c r="C894" s="80">
        <v>17</v>
      </c>
      <c r="D894" s="104">
        <v>0.0021244682585084833</v>
      </c>
      <c r="E894" s="104">
        <v>1.8665441661064064</v>
      </c>
      <c r="F894" s="80" t="s">
        <v>2184</v>
      </c>
      <c r="G894" s="80" t="b">
        <v>0</v>
      </c>
      <c r="H894" s="80" t="b">
        <v>0</v>
      </c>
      <c r="I894" s="80" t="b">
        <v>0</v>
      </c>
      <c r="J894" s="80" t="b">
        <v>0</v>
      </c>
      <c r="K894" s="80" t="b">
        <v>0</v>
      </c>
      <c r="L894" s="80" t="b">
        <v>0</v>
      </c>
    </row>
    <row r="895" spans="1:12" ht="15">
      <c r="A895" s="81" t="s">
        <v>2231</v>
      </c>
      <c r="B895" s="80" t="s">
        <v>2219</v>
      </c>
      <c r="C895" s="80">
        <v>13</v>
      </c>
      <c r="D895" s="104">
        <v>0.0035667223784372954</v>
      </c>
      <c r="E895" s="104">
        <v>1.769343752230356</v>
      </c>
      <c r="F895" s="80" t="s">
        <v>2184</v>
      </c>
      <c r="G895" s="80" t="b">
        <v>0</v>
      </c>
      <c r="H895" s="80" t="b">
        <v>0</v>
      </c>
      <c r="I895" s="80" t="b">
        <v>0</v>
      </c>
      <c r="J895" s="80" t="b">
        <v>0</v>
      </c>
      <c r="K895" s="80" t="b">
        <v>0</v>
      </c>
      <c r="L895" s="80" t="b">
        <v>0</v>
      </c>
    </row>
    <row r="896" spans="1:12" ht="15">
      <c r="A896" s="81" t="s">
        <v>2215</v>
      </c>
      <c r="B896" s="80" t="s">
        <v>2222</v>
      </c>
      <c r="C896" s="80">
        <v>13</v>
      </c>
      <c r="D896" s="104">
        <v>0.001832236492678715</v>
      </c>
      <c r="E896" s="104">
        <v>1.531982836435752</v>
      </c>
      <c r="F896" s="80" t="s">
        <v>2184</v>
      </c>
      <c r="G896" s="80" t="b">
        <v>0</v>
      </c>
      <c r="H896" s="80" t="b">
        <v>0</v>
      </c>
      <c r="I896" s="80" t="b">
        <v>0</v>
      </c>
      <c r="J896" s="80" t="b">
        <v>0</v>
      </c>
      <c r="K896" s="80" t="b">
        <v>0</v>
      </c>
      <c r="L896" s="80" t="b">
        <v>0</v>
      </c>
    </row>
    <row r="897" spans="1:12" ht="15">
      <c r="A897" s="81" t="s">
        <v>2338</v>
      </c>
      <c r="B897" s="80" t="s">
        <v>2229</v>
      </c>
      <c r="C897" s="80">
        <v>11</v>
      </c>
      <c r="D897" s="104">
        <v>0.0076314342905173275</v>
      </c>
      <c r="E897" s="104">
        <v>1.9766337816757875</v>
      </c>
      <c r="F897" s="80" t="s">
        <v>2184</v>
      </c>
      <c r="G897" s="80" t="b">
        <v>0</v>
      </c>
      <c r="H897" s="80" t="b">
        <v>0</v>
      </c>
      <c r="I897" s="80" t="b">
        <v>0</v>
      </c>
      <c r="J897" s="80" t="b">
        <v>0</v>
      </c>
      <c r="K897" s="80" t="b">
        <v>0</v>
      </c>
      <c r="L897" s="80" t="b">
        <v>0</v>
      </c>
    </row>
    <row r="898" spans="1:12" ht="15">
      <c r="A898" s="81" t="s">
        <v>2215</v>
      </c>
      <c r="B898" s="80" t="s">
        <v>2224</v>
      </c>
      <c r="C898" s="80">
        <v>11</v>
      </c>
      <c r="D898" s="104">
        <v>0.001946412187916595</v>
      </c>
      <c r="E898" s="104">
        <v>1.4594321692871404</v>
      </c>
      <c r="F898" s="80" t="s">
        <v>2184</v>
      </c>
      <c r="G898" s="80" t="b">
        <v>0</v>
      </c>
      <c r="H898" s="80" t="b">
        <v>0</v>
      </c>
      <c r="I898" s="80" t="b">
        <v>0</v>
      </c>
      <c r="J898" s="80" t="b">
        <v>0</v>
      </c>
      <c r="K898" s="80" t="b">
        <v>0</v>
      </c>
      <c r="L898" s="80" t="b">
        <v>0</v>
      </c>
    </row>
    <row r="899" spans="1:12" ht="15">
      <c r="A899" s="81" t="s">
        <v>2234</v>
      </c>
      <c r="B899" s="80" t="s">
        <v>2226</v>
      </c>
      <c r="C899" s="80">
        <v>10</v>
      </c>
      <c r="D899" s="104">
        <v>0.002201972700906763</v>
      </c>
      <c r="E899" s="104">
        <v>2.1227618173540255</v>
      </c>
      <c r="F899" s="80" t="s">
        <v>2184</v>
      </c>
      <c r="G899" s="80" t="b">
        <v>0</v>
      </c>
      <c r="H899" s="80" t="b">
        <v>0</v>
      </c>
      <c r="I899" s="80" t="b">
        <v>0</v>
      </c>
      <c r="J899" s="80" t="b">
        <v>0</v>
      </c>
      <c r="K899" s="80" t="b">
        <v>0</v>
      </c>
      <c r="L899" s="80" t="b">
        <v>0</v>
      </c>
    </row>
    <row r="900" spans="1:12" ht="15">
      <c r="A900" s="81" t="s">
        <v>2222</v>
      </c>
      <c r="B900" s="80" t="s">
        <v>2225</v>
      </c>
      <c r="C900" s="80">
        <v>10</v>
      </c>
      <c r="D900" s="104">
        <v>0.00197488838050639</v>
      </c>
      <c r="E900" s="104">
        <v>1.7648269703535715</v>
      </c>
      <c r="F900" s="80" t="s">
        <v>2184</v>
      </c>
      <c r="G900" s="80" t="b">
        <v>0</v>
      </c>
      <c r="H900" s="80" t="b">
        <v>0</v>
      </c>
      <c r="I900" s="80" t="b">
        <v>0</v>
      </c>
      <c r="J900" s="80" t="b">
        <v>0</v>
      </c>
      <c r="K900" s="80" t="b">
        <v>0</v>
      </c>
      <c r="L900" s="80" t="b">
        <v>0</v>
      </c>
    </row>
    <row r="901" spans="1:12" ht="15">
      <c r="A901" s="81" t="s">
        <v>2224</v>
      </c>
      <c r="B901" s="80" t="s">
        <v>2215</v>
      </c>
      <c r="C901" s="80">
        <v>9</v>
      </c>
      <c r="D901" s="104">
        <v>0.0019817754308160867</v>
      </c>
      <c r="E901" s="104">
        <v>1.3722819935682402</v>
      </c>
      <c r="F901" s="80" t="s">
        <v>2184</v>
      </c>
      <c r="G901" s="80" t="b">
        <v>0</v>
      </c>
      <c r="H901" s="80" t="b">
        <v>0</v>
      </c>
      <c r="I901" s="80" t="b">
        <v>0</v>
      </c>
      <c r="J901" s="80" t="b">
        <v>0</v>
      </c>
      <c r="K901" s="80" t="b">
        <v>0</v>
      </c>
      <c r="L901" s="80" t="b">
        <v>0</v>
      </c>
    </row>
    <row r="902" spans="1:12" ht="15">
      <c r="A902" s="81" t="s">
        <v>2215</v>
      </c>
      <c r="B902" s="80" t="s">
        <v>2240</v>
      </c>
      <c r="C902" s="80">
        <v>8</v>
      </c>
      <c r="D902" s="104">
        <v>0.0019646650984817627</v>
      </c>
      <c r="E902" s="104">
        <v>1.645640562634363</v>
      </c>
      <c r="F902" s="80" t="s">
        <v>2184</v>
      </c>
      <c r="G902" s="80" t="b">
        <v>0</v>
      </c>
      <c r="H902" s="80" t="b">
        <v>0</v>
      </c>
      <c r="I902" s="80" t="b">
        <v>0</v>
      </c>
      <c r="J902" s="80" t="b">
        <v>0</v>
      </c>
      <c r="K902" s="80" t="b">
        <v>0</v>
      </c>
      <c r="L902" s="80" t="b">
        <v>0</v>
      </c>
    </row>
    <row r="903" spans="1:12" ht="15">
      <c r="A903" s="81" t="s">
        <v>2312</v>
      </c>
      <c r="B903" s="80" t="s">
        <v>2256</v>
      </c>
      <c r="C903" s="80">
        <v>7</v>
      </c>
      <c r="D903" s="104">
        <v>0.0019205428191585436</v>
      </c>
      <c r="E903" s="104">
        <v>2.298853076409707</v>
      </c>
      <c r="F903" s="80" t="s">
        <v>2184</v>
      </c>
      <c r="G903" s="80" t="b">
        <v>0</v>
      </c>
      <c r="H903" s="80" t="b">
        <v>0</v>
      </c>
      <c r="I903" s="80" t="b">
        <v>0</v>
      </c>
      <c r="J903" s="80" t="b">
        <v>0</v>
      </c>
      <c r="K903" s="80" t="b">
        <v>0</v>
      </c>
      <c r="L903" s="80" t="b">
        <v>0</v>
      </c>
    </row>
    <row r="904" spans="1:12" ht="15">
      <c r="A904" s="81" t="s">
        <v>2299</v>
      </c>
      <c r="B904" s="80" t="s">
        <v>2306</v>
      </c>
      <c r="C904" s="80">
        <v>7</v>
      </c>
      <c r="D904" s="104">
        <v>0.0019205428191585436</v>
      </c>
      <c r="E904" s="104">
        <v>2.45375503639545</v>
      </c>
      <c r="F904" s="80" t="s">
        <v>2184</v>
      </c>
      <c r="G904" s="80" t="b">
        <v>0</v>
      </c>
      <c r="H904" s="80" t="b">
        <v>1</v>
      </c>
      <c r="I904" s="80" t="b">
        <v>0</v>
      </c>
      <c r="J904" s="80" t="b">
        <v>0</v>
      </c>
      <c r="K904" s="80" t="b">
        <v>0</v>
      </c>
      <c r="L904" s="80" t="b">
        <v>0</v>
      </c>
    </row>
    <row r="905" spans="1:12" ht="15">
      <c r="A905" s="81" t="s">
        <v>2256</v>
      </c>
      <c r="B905" s="80" t="s">
        <v>2231</v>
      </c>
      <c r="C905" s="80">
        <v>7</v>
      </c>
      <c r="D905" s="104">
        <v>0.0019205428191585436</v>
      </c>
      <c r="E905" s="104">
        <v>1.8429211207599823</v>
      </c>
      <c r="F905" s="80" t="s">
        <v>2184</v>
      </c>
      <c r="G905" s="80" t="b">
        <v>0</v>
      </c>
      <c r="H905" s="80" t="b">
        <v>0</v>
      </c>
      <c r="I905" s="80" t="b">
        <v>0</v>
      </c>
      <c r="J905" s="80" t="b">
        <v>0</v>
      </c>
      <c r="K905" s="80" t="b">
        <v>0</v>
      </c>
      <c r="L905" s="80" t="b">
        <v>0</v>
      </c>
    </row>
    <row r="906" spans="1:12" ht="15">
      <c r="A906" s="81" t="s">
        <v>2219</v>
      </c>
      <c r="B906" s="80" t="s">
        <v>2313</v>
      </c>
      <c r="C906" s="80">
        <v>7</v>
      </c>
      <c r="D906" s="104">
        <v>0.0019205428191585436</v>
      </c>
      <c r="E906" s="104">
        <v>1.9564303955875004</v>
      </c>
      <c r="F906" s="80" t="s">
        <v>2184</v>
      </c>
      <c r="G906" s="80" t="b">
        <v>0</v>
      </c>
      <c r="H906" s="80" t="b">
        <v>0</v>
      </c>
      <c r="I906" s="80" t="b">
        <v>0</v>
      </c>
      <c r="J906" s="80" t="b">
        <v>0</v>
      </c>
      <c r="K906" s="80" t="b">
        <v>0</v>
      </c>
      <c r="L906" s="80" t="b">
        <v>0</v>
      </c>
    </row>
    <row r="907" spans="1:12" ht="15">
      <c r="A907" s="81" t="s">
        <v>2313</v>
      </c>
      <c r="B907" s="80" t="s">
        <v>2310</v>
      </c>
      <c r="C907" s="80">
        <v>7</v>
      </c>
      <c r="D907" s="104">
        <v>0.0019205428191585436</v>
      </c>
      <c r="E907" s="104">
        <v>2.45375503639545</v>
      </c>
      <c r="F907" s="80" t="s">
        <v>2184</v>
      </c>
      <c r="G907" s="80" t="b">
        <v>0</v>
      </c>
      <c r="H907" s="80" t="b">
        <v>0</v>
      </c>
      <c r="I907" s="80" t="b">
        <v>0</v>
      </c>
      <c r="J907" s="80" t="b">
        <v>0</v>
      </c>
      <c r="K907" s="80" t="b">
        <v>0</v>
      </c>
      <c r="L907" s="80" t="b">
        <v>0</v>
      </c>
    </row>
    <row r="908" spans="1:12" ht="15">
      <c r="A908" s="81" t="s">
        <v>2306</v>
      </c>
      <c r="B908" s="80" t="s">
        <v>2312</v>
      </c>
      <c r="C908" s="80">
        <v>7</v>
      </c>
      <c r="D908" s="104">
        <v>0.0019205428191585436</v>
      </c>
      <c r="E908" s="104">
        <v>2.45375503639545</v>
      </c>
      <c r="F908" s="80" t="s">
        <v>2184</v>
      </c>
      <c r="G908" s="80" t="b">
        <v>0</v>
      </c>
      <c r="H908" s="80" t="b">
        <v>0</v>
      </c>
      <c r="I908" s="80" t="b">
        <v>0</v>
      </c>
      <c r="J908" s="80" t="b">
        <v>0</v>
      </c>
      <c r="K908" s="80" t="b">
        <v>0</v>
      </c>
      <c r="L908" s="80" t="b">
        <v>0</v>
      </c>
    </row>
    <row r="909" spans="1:12" ht="15">
      <c r="A909" s="81" t="s">
        <v>2288</v>
      </c>
      <c r="B909" s="80" t="s">
        <v>2299</v>
      </c>
      <c r="C909" s="80">
        <v>7</v>
      </c>
      <c r="D909" s="104">
        <v>0.0019205428191585436</v>
      </c>
      <c r="E909" s="104">
        <v>2.45375503639545</v>
      </c>
      <c r="F909" s="80" t="s">
        <v>2184</v>
      </c>
      <c r="G909" s="80" t="b">
        <v>0</v>
      </c>
      <c r="H909" s="80" t="b">
        <v>0</v>
      </c>
      <c r="I909" s="80" t="b">
        <v>0</v>
      </c>
      <c r="J909" s="80" t="b">
        <v>0</v>
      </c>
      <c r="K909" s="80" t="b">
        <v>1</v>
      </c>
      <c r="L909" s="80" t="b">
        <v>0</v>
      </c>
    </row>
    <row r="910" spans="1:12" ht="15">
      <c r="A910" s="81" t="s">
        <v>2226</v>
      </c>
      <c r="B910" s="80" t="s">
        <v>2231</v>
      </c>
      <c r="C910" s="80">
        <v>6</v>
      </c>
      <c r="D910" s="104">
        <v>0.001845524838575863</v>
      </c>
      <c r="E910" s="104">
        <v>1.5998830720736879</v>
      </c>
      <c r="F910" s="80" t="s">
        <v>2184</v>
      </c>
      <c r="G910" s="80" t="b">
        <v>0</v>
      </c>
      <c r="H910" s="80" t="b">
        <v>0</v>
      </c>
      <c r="I910" s="80" t="b">
        <v>0</v>
      </c>
      <c r="J910" s="80" t="b">
        <v>0</v>
      </c>
      <c r="K910" s="80" t="b">
        <v>0</v>
      </c>
      <c r="L910" s="80" t="b">
        <v>0</v>
      </c>
    </row>
    <row r="911" spans="1:12" ht="15">
      <c r="A911" s="81" t="s">
        <v>2310</v>
      </c>
      <c r="B911" s="80" t="s">
        <v>2234</v>
      </c>
      <c r="C911" s="80">
        <v>6</v>
      </c>
      <c r="D911" s="104">
        <v>0.001845524838575863</v>
      </c>
      <c r="E911" s="104">
        <v>2.2319062867790933</v>
      </c>
      <c r="F911" s="80" t="s">
        <v>2184</v>
      </c>
      <c r="G911" s="80" t="b">
        <v>0</v>
      </c>
      <c r="H911" s="80" t="b">
        <v>0</v>
      </c>
      <c r="I911" s="80" t="b">
        <v>0</v>
      </c>
      <c r="J911" s="80" t="b">
        <v>0</v>
      </c>
      <c r="K911" s="80" t="b">
        <v>0</v>
      </c>
      <c r="L911" s="80" t="b">
        <v>0</v>
      </c>
    </row>
    <row r="912" spans="1:12" ht="15">
      <c r="A912" s="81" t="s">
        <v>2219</v>
      </c>
      <c r="B912" s="80" t="s">
        <v>2235</v>
      </c>
      <c r="C912" s="80">
        <v>6</v>
      </c>
      <c r="D912" s="104">
        <v>0.001845524838575863</v>
      </c>
      <c r="E912" s="104">
        <v>1.780339136531819</v>
      </c>
      <c r="F912" s="80" t="s">
        <v>2184</v>
      </c>
      <c r="G912" s="80" t="b">
        <v>0</v>
      </c>
      <c r="H912" s="80" t="b">
        <v>0</v>
      </c>
      <c r="I912" s="80" t="b">
        <v>0</v>
      </c>
      <c r="J912" s="80" t="b">
        <v>0</v>
      </c>
      <c r="K912" s="80" t="b">
        <v>0</v>
      </c>
      <c r="L912" s="80" t="b">
        <v>0</v>
      </c>
    </row>
    <row r="913" spans="1:12" ht="15">
      <c r="A913" s="81" t="s">
        <v>2331</v>
      </c>
      <c r="B913" s="80" t="s">
        <v>2215</v>
      </c>
      <c r="C913" s="80">
        <v>6</v>
      </c>
      <c r="D913" s="104">
        <v>0.001845524838575863</v>
      </c>
      <c r="E913" s="104">
        <v>1.6967930850817443</v>
      </c>
      <c r="F913" s="80" t="s">
        <v>2184</v>
      </c>
      <c r="G913" s="80" t="b">
        <v>0</v>
      </c>
      <c r="H913" s="80" t="b">
        <v>0</v>
      </c>
      <c r="I913" s="80" t="b">
        <v>0</v>
      </c>
      <c r="J913" s="80" t="b">
        <v>0</v>
      </c>
      <c r="K913" s="80" t="b">
        <v>0</v>
      </c>
      <c r="L913" s="80" t="b">
        <v>0</v>
      </c>
    </row>
    <row r="914" spans="1:12" ht="15">
      <c r="A914" s="81" t="s">
        <v>2231</v>
      </c>
      <c r="B914" s="80" t="s">
        <v>2288</v>
      </c>
      <c r="C914" s="80">
        <v>6</v>
      </c>
      <c r="D914" s="104">
        <v>0.001845524838575863</v>
      </c>
      <c r="E914" s="104">
        <v>1.9308762911151123</v>
      </c>
      <c r="F914" s="80" t="s">
        <v>2184</v>
      </c>
      <c r="G914" s="80" t="b">
        <v>0</v>
      </c>
      <c r="H914" s="80" t="b">
        <v>0</v>
      </c>
      <c r="I914" s="80" t="b">
        <v>0</v>
      </c>
      <c r="J914" s="80" t="b">
        <v>0</v>
      </c>
      <c r="K914" s="80" t="b">
        <v>0</v>
      </c>
      <c r="L914" s="80" t="b">
        <v>0</v>
      </c>
    </row>
    <row r="915" spans="1:12" ht="15">
      <c r="A915" s="81" t="s">
        <v>2240</v>
      </c>
      <c r="B915" s="80" t="s">
        <v>2215</v>
      </c>
      <c r="C915" s="80">
        <v>6</v>
      </c>
      <c r="D915" s="104">
        <v>0.001845524838575863</v>
      </c>
      <c r="E915" s="104">
        <v>1.5718543484734444</v>
      </c>
      <c r="F915" s="80" t="s">
        <v>2184</v>
      </c>
      <c r="G915" s="80" t="b">
        <v>0</v>
      </c>
      <c r="H915" s="80" t="b">
        <v>0</v>
      </c>
      <c r="I915" s="80" t="b">
        <v>0</v>
      </c>
      <c r="J915" s="80" t="b">
        <v>0</v>
      </c>
      <c r="K915" s="80" t="b">
        <v>0</v>
      </c>
      <c r="L915" s="80" t="b">
        <v>0</v>
      </c>
    </row>
    <row r="916" spans="1:12" ht="15">
      <c r="A916" s="81" t="s">
        <v>2235</v>
      </c>
      <c r="B916" s="80" t="s">
        <v>2331</v>
      </c>
      <c r="C916" s="80">
        <v>6</v>
      </c>
      <c r="D916" s="104">
        <v>0.001845524838575863</v>
      </c>
      <c r="E916" s="104">
        <v>2.3446105669703816</v>
      </c>
      <c r="F916" s="80" t="s">
        <v>2184</v>
      </c>
      <c r="G916" s="80" t="b">
        <v>0</v>
      </c>
      <c r="H916" s="80" t="b">
        <v>0</v>
      </c>
      <c r="I916" s="80" t="b">
        <v>0</v>
      </c>
      <c r="J916" s="80" t="b">
        <v>0</v>
      </c>
      <c r="K916" s="80" t="b">
        <v>0</v>
      </c>
      <c r="L916" s="80" t="b">
        <v>0</v>
      </c>
    </row>
    <row r="917" spans="1:12" ht="15">
      <c r="A917" s="81" t="s">
        <v>2221</v>
      </c>
      <c r="B917" s="80" t="s">
        <v>2231</v>
      </c>
      <c r="C917" s="80">
        <v>6</v>
      </c>
      <c r="D917" s="104">
        <v>0.001845524838575863</v>
      </c>
      <c r="E917" s="104">
        <v>1.474944335465388</v>
      </c>
      <c r="F917" s="80" t="s">
        <v>2184</v>
      </c>
      <c r="G917" s="80" t="b">
        <v>0</v>
      </c>
      <c r="H917" s="80" t="b">
        <v>0</v>
      </c>
      <c r="I917" s="80" t="b">
        <v>0</v>
      </c>
      <c r="J917" s="80" t="b">
        <v>0</v>
      </c>
      <c r="K917" s="80" t="b">
        <v>0</v>
      </c>
      <c r="L917" s="80" t="b">
        <v>0</v>
      </c>
    </row>
    <row r="918" spans="1:12" ht="15">
      <c r="A918" s="81" t="s">
        <v>2222</v>
      </c>
      <c r="B918" s="80" t="s">
        <v>2215</v>
      </c>
      <c r="C918" s="80">
        <v>5</v>
      </c>
      <c r="D918" s="104">
        <v>0.0017344168842084835</v>
      </c>
      <c r="E918" s="104">
        <v>1.117009488464934</v>
      </c>
      <c r="F918" s="80" t="s">
        <v>2184</v>
      </c>
      <c r="G918" s="80" t="b">
        <v>0</v>
      </c>
      <c r="H918" s="80" t="b">
        <v>0</v>
      </c>
      <c r="I918" s="80" t="b">
        <v>0</v>
      </c>
      <c r="J918" s="80" t="b">
        <v>0</v>
      </c>
      <c r="K918" s="80" t="b">
        <v>0</v>
      </c>
      <c r="L918" s="80" t="b">
        <v>0</v>
      </c>
    </row>
    <row r="919" spans="1:12" ht="15">
      <c r="A919" s="81" t="s">
        <v>2239</v>
      </c>
      <c r="B919" s="80" t="s">
        <v>2218</v>
      </c>
      <c r="C919" s="80">
        <v>5</v>
      </c>
      <c r="D919" s="104">
        <v>0.0017344168842084835</v>
      </c>
      <c r="E919" s="104">
        <v>1.769936376132052</v>
      </c>
      <c r="F919" s="80" t="s">
        <v>2184</v>
      </c>
      <c r="G919" s="80" t="b">
        <v>0</v>
      </c>
      <c r="H919" s="80" t="b">
        <v>0</v>
      </c>
      <c r="I919" s="80" t="b">
        <v>0</v>
      </c>
      <c r="J919" s="80" t="b">
        <v>0</v>
      </c>
      <c r="K919" s="80" t="b">
        <v>0</v>
      </c>
      <c r="L919" s="80" t="b">
        <v>0</v>
      </c>
    </row>
    <row r="920" spans="1:12" ht="15">
      <c r="A920" s="81" t="s">
        <v>2250</v>
      </c>
      <c r="B920" s="80" t="s">
        <v>2232</v>
      </c>
      <c r="C920" s="80">
        <v>4</v>
      </c>
      <c r="D920" s="104">
        <v>0.001579910704405112</v>
      </c>
      <c r="E920" s="104">
        <v>2.4237918130180067</v>
      </c>
      <c r="F920" s="80" t="s">
        <v>2184</v>
      </c>
      <c r="G920" s="80" t="b">
        <v>0</v>
      </c>
      <c r="H920" s="80" t="b">
        <v>0</v>
      </c>
      <c r="I920" s="80" t="b">
        <v>0</v>
      </c>
      <c r="J920" s="80" t="b">
        <v>0</v>
      </c>
      <c r="K920" s="80" t="b">
        <v>0</v>
      </c>
      <c r="L920" s="80" t="b">
        <v>0</v>
      </c>
    </row>
    <row r="921" spans="1:12" ht="15">
      <c r="A921" s="81" t="s">
        <v>2225</v>
      </c>
      <c r="B921" s="80" t="s">
        <v>2215</v>
      </c>
      <c r="C921" s="80">
        <v>4</v>
      </c>
      <c r="D921" s="104">
        <v>0.001579910704405112</v>
      </c>
      <c r="E921" s="104">
        <v>1.2574603912514817</v>
      </c>
      <c r="F921" s="80" t="s">
        <v>2184</v>
      </c>
      <c r="G921" s="80" t="b">
        <v>0</v>
      </c>
      <c r="H921" s="80" t="b">
        <v>0</v>
      </c>
      <c r="I921" s="80" t="b">
        <v>0</v>
      </c>
      <c r="J921" s="80" t="b">
        <v>0</v>
      </c>
      <c r="K921" s="80" t="b">
        <v>0</v>
      </c>
      <c r="L921" s="80" t="b">
        <v>0</v>
      </c>
    </row>
    <row r="922" spans="1:12" ht="15">
      <c r="A922" s="81" t="s">
        <v>2254</v>
      </c>
      <c r="B922" s="80" t="s">
        <v>2236</v>
      </c>
      <c r="C922" s="80">
        <v>4</v>
      </c>
      <c r="D922" s="104">
        <v>0.001579910704405112</v>
      </c>
      <c r="E922" s="104">
        <v>1.9978230807457256</v>
      </c>
      <c r="F922" s="80" t="s">
        <v>2184</v>
      </c>
      <c r="G922" s="80" t="b">
        <v>0</v>
      </c>
      <c r="H922" s="80" t="b">
        <v>0</v>
      </c>
      <c r="I922" s="80" t="b">
        <v>0</v>
      </c>
      <c r="J922" s="80" t="b">
        <v>0</v>
      </c>
      <c r="K922" s="80" t="b">
        <v>0</v>
      </c>
      <c r="L922" s="80" t="b">
        <v>0</v>
      </c>
    </row>
    <row r="923" spans="1:12" ht="15">
      <c r="A923" s="81" t="s">
        <v>2271</v>
      </c>
      <c r="B923" s="80" t="s">
        <v>2217</v>
      </c>
      <c r="C923" s="80">
        <v>4</v>
      </c>
      <c r="D923" s="104">
        <v>0.001579910704405112</v>
      </c>
      <c r="E923" s="104">
        <v>2.094733093753782</v>
      </c>
      <c r="F923" s="80" t="s">
        <v>2184</v>
      </c>
      <c r="G923" s="80" t="b">
        <v>0</v>
      </c>
      <c r="H923" s="80" t="b">
        <v>0</v>
      </c>
      <c r="I923" s="80" t="b">
        <v>0</v>
      </c>
      <c r="J923" s="80" t="b">
        <v>0</v>
      </c>
      <c r="K923" s="80" t="b">
        <v>0</v>
      </c>
      <c r="L923" s="80" t="b">
        <v>0</v>
      </c>
    </row>
    <row r="924" spans="1:12" ht="15">
      <c r="A924" s="81" t="s">
        <v>2315</v>
      </c>
      <c r="B924" s="80" t="s">
        <v>2302</v>
      </c>
      <c r="C924" s="80">
        <v>4</v>
      </c>
      <c r="D924" s="104">
        <v>0.001579910704405112</v>
      </c>
      <c r="E924" s="104">
        <v>2.6967930850817443</v>
      </c>
      <c r="F924" s="80" t="s">
        <v>2184</v>
      </c>
      <c r="G924" s="80" t="b">
        <v>0</v>
      </c>
      <c r="H924" s="80" t="b">
        <v>0</v>
      </c>
      <c r="I924" s="80" t="b">
        <v>0</v>
      </c>
      <c r="J924" s="80" t="b">
        <v>0</v>
      </c>
      <c r="K924" s="80" t="b">
        <v>0</v>
      </c>
      <c r="L924" s="80" t="b">
        <v>0</v>
      </c>
    </row>
    <row r="925" spans="1:12" ht="15">
      <c r="A925" s="81" t="s">
        <v>2218</v>
      </c>
      <c r="B925" s="80" t="s">
        <v>2257</v>
      </c>
      <c r="C925" s="80">
        <v>4</v>
      </c>
      <c r="D925" s="104">
        <v>0.001579910704405112</v>
      </c>
      <c r="E925" s="104">
        <v>2.18490972410287</v>
      </c>
      <c r="F925" s="80" t="s">
        <v>2184</v>
      </c>
      <c r="G925" s="80" t="b">
        <v>0</v>
      </c>
      <c r="H925" s="80" t="b">
        <v>0</v>
      </c>
      <c r="I925" s="80" t="b">
        <v>0</v>
      </c>
      <c r="J925" s="80" t="b">
        <v>0</v>
      </c>
      <c r="K925" s="80" t="b">
        <v>0</v>
      </c>
      <c r="L925" s="80" t="b">
        <v>0</v>
      </c>
    </row>
    <row r="926" spans="1:12" ht="15">
      <c r="A926" s="81" t="s">
        <v>2246</v>
      </c>
      <c r="B926" s="80" t="s">
        <v>2364</v>
      </c>
      <c r="C926" s="80">
        <v>3</v>
      </c>
      <c r="D926" s="104">
        <v>0.0013709460356611046</v>
      </c>
      <c r="E926" s="104">
        <v>1.7077884693832075</v>
      </c>
      <c r="F926" s="80" t="s">
        <v>2184</v>
      </c>
      <c r="G926" s="80" t="b">
        <v>0</v>
      </c>
      <c r="H926" s="80" t="b">
        <v>0</v>
      </c>
      <c r="I926" s="80" t="b">
        <v>0</v>
      </c>
      <c r="J926" s="80" t="b">
        <v>0</v>
      </c>
      <c r="K926" s="80" t="b">
        <v>0</v>
      </c>
      <c r="L926" s="80" t="b">
        <v>0</v>
      </c>
    </row>
    <row r="927" spans="1:12" ht="15">
      <c r="A927" s="81" t="s">
        <v>2350</v>
      </c>
      <c r="B927" s="80" t="s">
        <v>2783</v>
      </c>
      <c r="C927" s="80">
        <v>3</v>
      </c>
      <c r="D927" s="104">
        <v>0.0013709460356611046</v>
      </c>
      <c r="E927" s="104">
        <v>2.520701826026063</v>
      </c>
      <c r="F927" s="80" t="s">
        <v>2184</v>
      </c>
      <c r="G927" s="80" t="b">
        <v>0</v>
      </c>
      <c r="H927" s="80" t="b">
        <v>0</v>
      </c>
      <c r="I927" s="80" t="b">
        <v>0</v>
      </c>
      <c r="J927" s="80" t="b">
        <v>0</v>
      </c>
      <c r="K927" s="80" t="b">
        <v>0</v>
      </c>
      <c r="L927" s="80" t="b">
        <v>0</v>
      </c>
    </row>
    <row r="928" spans="1:12" ht="15">
      <c r="A928" s="81" t="s">
        <v>2216</v>
      </c>
      <c r="B928" s="80" t="s">
        <v>2866</v>
      </c>
      <c r="C928" s="80">
        <v>3</v>
      </c>
      <c r="D928" s="104">
        <v>0.0013709460356611046</v>
      </c>
      <c r="E928" s="104">
        <v>1.8674893122507195</v>
      </c>
      <c r="F928" s="80" t="s">
        <v>2184</v>
      </c>
      <c r="G928" s="80" t="b">
        <v>0</v>
      </c>
      <c r="H928" s="80" t="b">
        <v>0</v>
      </c>
      <c r="I928" s="80" t="b">
        <v>0</v>
      </c>
      <c r="J928" s="80" t="b">
        <v>0</v>
      </c>
      <c r="K928" s="80" t="b">
        <v>0</v>
      </c>
      <c r="L928" s="80" t="b">
        <v>0</v>
      </c>
    </row>
    <row r="929" spans="1:12" ht="15">
      <c r="A929" s="81" t="s">
        <v>2364</v>
      </c>
      <c r="B929" s="80" t="s">
        <v>2305</v>
      </c>
      <c r="C929" s="80">
        <v>3</v>
      </c>
      <c r="D929" s="104">
        <v>0.0013709460356611046</v>
      </c>
      <c r="E929" s="104">
        <v>2.2196718303620817</v>
      </c>
      <c r="F929" s="80" t="s">
        <v>2184</v>
      </c>
      <c r="G929" s="80" t="b">
        <v>0</v>
      </c>
      <c r="H929" s="80" t="b">
        <v>0</v>
      </c>
      <c r="I929" s="80" t="b">
        <v>0</v>
      </c>
      <c r="J929" s="80" t="b">
        <v>0</v>
      </c>
      <c r="K929" s="80" t="b">
        <v>0</v>
      </c>
      <c r="L929" s="80" t="b">
        <v>0</v>
      </c>
    </row>
    <row r="930" spans="1:12" ht="15">
      <c r="A930" s="81" t="s">
        <v>2245</v>
      </c>
      <c r="B930" s="80" t="s">
        <v>2791</v>
      </c>
      <c r="C930" s="80">
        <v>3</v>
      </c>
      <c r="D930" s="104">
        <v>0.0013709460356611046</v>
      </c>
      <c r="E930" s="104">
        <v>1.9978230807457256</v>
      </c>
      <c r="F930" s="80" t="s">
        <v>2184</v>
      </c>
      <c r="G930" s="80" t="b">
        <v>0</v>
      </c>
      <c r="H930" s="80" t="b">
        <v>0</v>
      </c>
      <c r="I930" s="80" t="b">
        <v>0</v>
      </c>
      <c r="J930" s="80" t="b">
        <v>0</v>
      </c>
      <c r="K930" s="80" t="b">
        <v>0</v>
      </c>
      <c r="L930" s="80" t="b">
        <v>0</v>
      </c>
    </row>
    <row r="931" spans="1:12" ht="15">
      <c r="A931" s="81" t="s">
        <v>2317</v>
      </c>
      <c r="B931" s="80" t="s">
        <v>2842</v>
      </c>
      <c r="C931" s="80">
        <v>3</v>
      </c>
      <c r="D931" s="104">
        <v>0.0013709460356611046</v>
      </c>
      <c r="E931" s="104">
        <v>2.821731821690044</v>
      </c>
      <c r="F931" s="80" t="s">
        <v>2184</v>
      </c>
      <c r="G931" s="80" t="b">
        <v>0</v>
      </c>
      <c r="H931" s="80" t="b">
        <v>0</v>
      </c>
      <c r="I931" s="80" t="b">
        <v>0</v>
      </c>
      <c r="J931" s="80" t="b">
        <v>0</v>
      </c>
      <c r="K931" s="80" t="b">
        <v>0</v>
      </c>
      <c r="L931" s="80" t="b">
        <v>0</v>
      </c>
    </row>
    <row r="932" spans="1:12" ht="15">
      <c r="A932" s="81" t="s">
        <v>2281</v>
      </c>
      <c r="B932" s="80" t="s">
        <v>2284</v>
      </c>
      <c r="C932" s="80">
        <v>3</v>
      </c>
      <c r="D932" s="104">
        <v>0.0013709460356611046</v>
      </c>
      <c r="E932" s="104">
        <v>2.3780343224573315</v>
      </c>
      <c r="F932" s="80" t="s">
        <v>2184</v>
      </c>
      <c r="G932" s="80" t="b">
        <v>0</v>
      </c>
      <c r="H932" s="80" t="b">
        <v>0</v>
      </c>
      <c r="I932" s="80" t="b">
        <v>0</v>
      </c>
      <c r="J932" s="80" t="b">
        <v>0</v>
      </c>
      <c r="K932" s="80" t="b">
        <v>0</v>
      </c>
      <c r="L932" s="80" t="b">
        <v>0</v>
      </c>
    </row>
    <row r="933" spans="1:12" ht="15">
      <c r="A933" s="81" t="s">
        <v>2242</v>
      </c>
      <c r="B933" s="80" t="s">
        <v>2544</v>
      </c>
      <c r="C933" s="80">
        <v>3</v>
      </c>
      <c r="D933" s="104">
        <v>0.0013709460356611046</v>
      </c>
      <c r="E933" s="104">
        <v>2.3288162997871495</v>
      </c>
      <c r="F933" s="80" t="s">
        <v>2184</v>
      </c>
      <c r="G933" s="80" t="b">
        <v>0</v>
      </c>
      <c r="H933" s="80" t="b">
        <v>0</v>
      </c>
      <c r="I933" s="80" t="b">
        <v>0</v>
      </c>
      <c r="J933" s="80" t="b">
        <v>0</v>
      </c>
      <c r="K933" s="80" t="b">
        <v>1</v>
      </c>
      <c r="L933" s="80" t="b">
        <v>0</v>
      </c>
    </row>
    <row r="934" spans="1:12" ht="15">
      <c r="A934" s="81" t="s">
        <v>2710</v>
      </c>
      <c r="B934" s="80" t="s">
        <v>2216</v>
      </c>
      <c r="C934" s="80">
        <v>3</v>
      </c>
      <c r="D934" s="104">
        <v>0.0013709460356611046</v>
      </c>
      <c r="E934" s="104">
        <v>1.8674893122507195</v>
      </c>
      <c r="F934" s="80" t="s">
        <v>2184</v>
      </c>
      <c r="G934" s="80" t="b">
        <v>0</v>
      </c>
      <c r="H934" s="80" t="b">
        <v>0</v>
      </c>
      <c r="I934" s="80" t="b">
        <v>0</v>
      </c>
      <c r="J934" s="80" t="b">
        <v>0</v>
      </c>
      <c r="K934" s="80" t="b">
        <v>0</v>
      </c>
      <c r="L934" s="80" t="b">
        <v>0</v>
      </c>
    </row>
    <row r="935" spans="1:12" ht="15">
      <c r="A935" s="81" t="s">
        <v>2303</v>
      </c>
      <c r="B935" s="80" t="s">
        <v>2712</v>
      </c>
      <c r="C935" s="80">
        <v>3</v>
      </c>
      <c r="D935" s="104">
        <v>0.0013709460356611046</v>
      </c>
      <c r="E935" s="104">
        <v>2.821731821690044</v>
      </c>
      <c r="F935" s="80" t="s">
        <v>2184</v>
      </c>
      <c r="G935" s="80" t="b">
        <v>0</v>
      </c>
      <c r="H935" s="80" t="b">
        <v>0</v>
      </c>
      <c r="I935" s="80" t="b">
        <v>0</v>
      </c>
      <c r="J935" s="80" t="b">
        <v>0</v>
      </c>
      <c r="K935" s="80" t="b">
        <v>0</v>
      </c>
      <c r="L935" s="80" t="b">
        <v>0</v>
      </c>
    </row>
    <row r="936" spans="1:12" ht="15">
      <c r="A936" s="81" t="s">
        <v>2725</v>
      </c>
      <c r="B936" s="80" t="s">
        <v>2245</v>
      </c>
      <c r="C936" s="80">
        <v>3</v>
      </c>
      <c r="D936" s="104">
        <v>0.0013709460356611046</v>
      </c>
      <c r="E936" s="104">
        <v>1.9978230807457256</v>
      </c>
      <c r="F936" s="80" t="s">
        <v>2184</v>
      </c>
      <c r="G936" s="80" t="b">
        <v>0</v>
      </c>
      <c r="H936" s="80" t="b">
        <v>0</v>
      </c>
      <c r="I936" s="80" t="b">
        <v>0</v>
      </c>
      <c r="J936" s="80" t="b">
        <v>0</v>
      </c>
      <c r="K936" s="80" t="b">
        <v>0</v>
      </c>
      <c r="L936" s="80" t="b">
        <v>0</v>
      </c>
    </row>
    <row r="937" spans="1:12" ht="15">
      <c r="A937" s="81" t="s">
        <v>2445</v>
      </c>
      <c r="B937" s="80" t="s">
        <v>2245</v>
      </c>
      <c r="C937" s="80">
        <v>3</v>
      </c>
      <c r="D937" s="104">
        <v>0.0013709460356611046</v>
      </c>
      <c r="E937" s="104">
        <v>1.6967930850817443</v>
      </c>
      <c r="F937" s="80" t="s">
        <v>2184</v>
      </c>
      <c r="G937" s="80" t="b">
        <v>0</v>
      </c>
      <c r="H937" s="80" t="b">
        <v>0</v>
      </c>
      <c r="I937" s="80" t="b">
        <v>0</v>
      </c>
      <c r="J937" s="80" t="b">
        <v>0</v>
      </c>
      <c r="K937" s="80" t="b">
        <v>0</v>
      </c>
      <c r="L937" s="80" t="b">
        <v>0</v>
      </c>
    </row>
    <row r="938" spans="1:12" ht="15">
      <c r="A938" s="81" t="s">
        <v>2225</v>
      </c>
      <c r="B938" s="80" t="s">
        <v>2224</v>
      </c>
      <c r="C938" s="80">
        <v>3</v>
      </c>
      <c r="D938" s="104">
        <v>0.0013709460356611046</v>
      </c>
      <c r="E938" s="104">
        <v>1.455828045018315</v>
      </c>
      <c r="F938" s="80" t="s">
        <v>2184</v>
      </c>
      <c r="G938" s="80" t="b">
        <v>0</v>
      </c>
      <c r="H938" s="80" t="b">
        <v>0</v>
      </c>
      <c r="I938" s="80" t="b">
        <v>0</v>
      </c>
      <c r="J938" s="80" t="b">
        <v>0</v>
      </c>
      <c r="K938" s="80" t="b">
        <v>0</v>
      </c>
      <c r="L938" s="80" t="b">
        <v>0</v>
      </c>
    </row>
    <row r="939" spans="1:12" ht="15">
      <c r="A939" s="81" t="s">
        <v>2482</v>
      </c>
      <c r="B939" s="80" t="s">
        <v>2364</v>
      </c>
      <c r="C939" s="80">
        <v>3</v>
      </c>
      <c r="D939" s="104">
        <v>0.0013709460356611046</v>
      </c>
      <c r="E939" s="104">
        <v>2.3446105669703816</v>
      </c>
      <c r="F939" s="80" t="s">
        <v>2184</v>
      </c>
      <c r="G939" s="80" t="b">
        <v>0</v>
      </c>
      <c r="H939" s="80" t="b">
        <v>0</v>
      </c>
      <c r="I939" s="80" t="b">
        <v>0</v>
      </c>
      <c r="J939" s="80" t="b">
        <v>0</v>
      </c>
      <c r="K939" s="80" t="b">
        <v>0</v>
      </c>
      <c r="L939" s="80" t="b">
        <v>0</v>
      </c>
    </row>
    <row r="940" spans="1:12" ht="15">
      <c r="A940" s="81" t="s">
        <v>2359</v>
      </c>
      <c r="B940" s="80" t="s">
        <v>2364</v>
      </c>
      <c r="C940" s="80">
        <v>3</v>
      </c>
      <c r="D940" s="104">
        <v>0.0013709460356611046</v>
      </c>
      <c r="E940" s="104">
        <v>2.3446105669703816</v>
      </c>
      <c r="F940" s="80" t="s">
        <v>2184</v>
      </c>
      <c r="G940" s="80" t="b">
        <v>0</v>
      </c>
      <c r="H940" s="80" t="b">
        <v>0</v>
      </c>
      <c r="I940" s="80" t="b">
        <v>0</v>
      </c>
      <c r="J940" s="80" t="b">
        <v>0</v>
      </c>
      <c r="K940" s="80" t="b">
        <v>0</v>
      </c>
      <c r="L940" s="80" t="b">
        <v>0</v>
      </c>
    </row>
    <row r="941" spans="1:12" ht="15">
      <c r="A941" s="81" t="s">
        <v>2396</v>
      </c>
      <c r="B941" s="80" t="s">
        <v>2245</v>
      </c>
      <c r="C941" s="80">
        <v>3</v>
      </c>
      <c r="D941" s="104">
        <v>0.0013709460356611046</v>
      </c>
      <c r="E941" s="104">
        <v>1.8728843441374254</v>
      </c>
      <c r="F941" s="80" t="s">
        <v>2184</v>
      </c>
      <c r="G941" s="80" t="b">
        <v>0</v>
      </c>
      <c r="H941" s="80" t="b">
        <v>0</v>
      </c>
      <c r="I941" s="80" t="b">
        <v>0</v>
      </c>
      <c r="J941" s="80" t="b">
        <v>0</v>
      </c>
      <c r="K941" s="80" t="b">
        <v>0</v>
      </c>
      <c r="L941" s="80" t="b">
        <v>0</v>
      </c>
    </row>
    <row r="942" spans="1:12" ht="15">
      <c r="A942" s="81" t="s">
        <v>2361</v>
      </c>
      <c r="B942" s="80" t="s">
        <v>2239</v>
      </c>
      <c r="C942" s="80">
        <v>3</v>
      </c>
      <c r="D942" s="104">
        <v>0.0013709460356611046</v>
      </c>
      <c r="E942" s="104">
        <v>2.18490972410287</v>
      </c>
      <c r="F942" s="80" t="s">
        <v>2184</v>
      </c>
      <c r="G942" s="80" t="b">
        <v>0</v>
      </c>
      <c r="H942" s="80" t="b">
        <v>0</v>
      </c>
      <c r="I942" s="80" t="b">
        <v>0</v>
      </c>
      <c r="J942" s="80" t="b">
        <v>0</v>
      </c>
      <c r="K942" s="80" t="b">
        <v>0</v>
      </c>
      <c r="L942" s="80" t="b">
        <v>0</v>
      </c>
    </row>
    <row r="943" spans="1:12" ht="15">
      <c r="A943" s="81" t="s">
        <v>2355</v>
      </c>
      <c r="B943" s="80" t="s">
        <v>2222</v>
      </c>
      <c r="C943" s="80">
        <v>3</v>
      </c>
      <c r="D943" s="104">
        <v>0.0013709460356611046</v>
      </c>
      <c r="E943" s="104">
        <v>2.0200994754568775</v>
      </c>
      <c r="F943" s="80" t="s">
        <v>2184</v>
      </c>
      <c r="G943" s="80" t="b">
        <v>0</v>
      </c>
      <c r="H943" s="80" t="b">
        <v>0</v>
      </c>
      <c r="I943" s="80" t="b">
        <v>0</v>
      </c>
      <c r="J943" s="80" t="b">
        <v>0</v>
      </c>
      <c r="K943" s="80" t="b">
        <v>0</v>
      </c>
      <c r="L943" s="80" t="b">
        <v>0</v>
      </c>
    </row>
    <row r="944" spans="1:12" ht="15">
      <c r="A944" s="81" t="s">
        <v>2245</v>
      </c>
      <c r="B944" s="80" t="s">
        <v>2254</v>
      </c>
      <c r="C944" s="80">
        <v>3</v>
      </c>
      <c r="D944" s="104">
        <v>0.0013709460356611046</v>
      </c>
      <c r="E944" s="104">
        <v>1.5718543484734444</v>
      </c>
      <c r="F944" s="80" t="s">
        <v>2184</v>
      </c>
      <c r="G944" s="80" t="b">
        <v>0</v>
      </c>
      <c r="H944" s="80" t="b">
        <v>0</v>
      </c>
      <c r="I944" s="80" t="b">
        <v>0</v>
      </c>
      <c r="J944" s="80" t="b">
        <v>0</v>
      </c>
      <c r="K944" s="80" t="b">
        <v>0</v>
      </c>
      <c r="L944" s="80" t="b">
        <v>0</v>
      </c>
    </row>
    <row r="945" spans="1:12" ht="15">
      <c r="A945" s="81" t="s">
        <v>2357</v>
      </c>
      <c r="B945" s="80" t="s">
        <v>2472</v>
      </c>
      <c r="C945" s="80">
        <v>3</v>
      </c>
      <c r="D945" s="104">
        <v>0.0013709460356611046</v>
      </c>
      <c r="E945" s="104">
        <v>2.6967930850817443</v>
      </c>
      <c r="F945" s="80" t="s">
        <v>2184</v>
      </c>
      <c r="G945" s="80" t="b">
        <v>0</v>
      </c>
      <c r="H945" s="80" t="b">
        <v>0</v>
      </c>
      <c r="I945" s="80" t="b">
        <v>0</v>
      </c>
      <c r="J945" s="80" t="b">
        <v>0</v>
      </c>
      <c r="K945" s="80" t="b">
        <v>0</v>
      </c>
      <c r="L945" s="80" t="b">
        <v>0</v>
      </c>
    </row>
    <row r="946" spans="1:12" ht="15">
      <c r="A946" s="81" t="s">
        <v>2712</v>
      </c>
      <c r="B946" s="80" t="s">
        <v>2874</v>
      </c>
      <c r="C946" s="80">
        <v>3</v>
      </c>
      <c r="D946" s="104">
        <v>0.0013709460356611046</v>
      </c>
      <c r="E946" s="104">
        <v>2.821731821690044</v>
      </c>
      <c r="F946" s="80" t="s">
        <v>2184</v>
      </c>
      <c r="G946" s="80" t="b">
        <v>0</v>
      </c>
      <c r="H946" s="80" t="b">
        <v>0</v>
      </c>
      <c r="I946" s="80" t="b">
        <v>0</v>
      </c>
      <c r="J946" s="80" t="b">
        <v>0</v>
      </c>
      <c r="K946" s="80" t="b">
        <v>0</v>
      </c>
      <c r="L946" s="80" t="b">
        <v>0</v>
      </c>
    </row>
    <row r="947" spans="1:12" ht="15">
      <c r="A947" s="81" t="s">
        <v>2245</v>
      </c>
      <c r="B947" s="80" t="s">
        <v>2238</v>
      </c>
      <c r="C947" s="80">
        <v>3</v>
      </c>
      <c r="D947" s="104">
        <v>0.0013709460356611046</v>
      </c>
      <c r="E947" s="104">
        <v>1.629846295451131</v>
      </c>
      <c r="F947" s="80" t="s">
        <v>2184</v>
      </c>
      <c r="G947" s="80" t="b">
        <v>0</v>
      </c>
      <c r="H947" s="80" t="b">
        <v>0</v>
      </c>
      <c r="I947" s="80" t="b">
        <v>0</v>
      </c>
      <c r="J947" s="80" t="b">
        <v>0</v>
      </c>
      <c r="K947" s="80" t="b">
        <v>0</v>
      </c>
      <c r="L947" s="80" t="b">
        <v>0</v>
      </c>
    </row>
    <row r="948" spans="1:12" ht="15">
      <c r="A948" s="81" t="s">
        <v>2226</v>
      </c>
      <c r="B948" s="80" t="s">
        <v>2216</v>
      </c>
      <c r="C948" s="80">
        <v>3</v>
      </c>
      <c r="D948" s="104">
        <v>0.0013709460356611046</v>
      </c>
      <c r="E948" s="104">
        <v>1.1685193079147005</v>
      </c>
      <c r="F948" s="80" t="s">
        <v>2184</v>
      </c>
      <c r="G948" s="80" t="b">
        <v>0</v>
      </c>
      <c r="H948" s="80" t="b">
        <v>0</v>
      </c>
      <c r="I948" s="80" t="b">
        <v>0</v>
      </c>
      <c r="J948" s="80" t="b">
        <v>0</v>
      </c>
      <c r="K948" s="80" t="b">
        <v>0</v>
      </c>
      <c r="L948" s="80" t="b">
        <v>0</v>
      </c>
    </row>
    <row r="949" spans="1:12" ht="15">
      <c r="A949" s="81" t="s">
        <v>2544</v>
      </c>
      <c r="B949" s="80" t="s">
        <v>2245</v>
      </c>
      <c r="C949" s="80">
        <v>3</v>
      </c>
      <c r="D949" s="104">
        <v>0.0013709460356611046</v>
      </c>
      <c r="E949" s="104">
        <v>1.8728843441374254</v>
      </c>
      <c r="F949" s="80" t="s">
        <v>2184</v>
      </c>
      <c r="G949" s="80" t="b">
        <v>0</v>
      </c>
      <c r="H949" s="80" t="b">
        <v>1</v>
      </c>
      <c r="I949" s="80" t="b">
        <v>0</v>
      </c>
      <c r="J949" s="80" t="b">
        <v>0</v>
      </c>
      <c r="K949" s="80" t="b">
        <v>0</v>
      </c>
      <c r="L949" s="80" t="b">
        <v>0</v>
      </c>
    </row>
    <row r="950" spans="1:12" ht="15">
      <c r="A950" s="81" t="s">
        <v>2817</v>
      </c>
      <c r="B950" s="80" t="s">
        <v>2445</v>
      </c>
      <c r="C950" s="80">
        <v>3</v>
      </c>
      <c r="D950" s="104">
        <v>0.0013709460356611046</v>
      </c>
      <c r="E950" s="104">
        <v>2.520701826026063</v>
      </c>
      <c r="F950" s="80" t="s">
        <v>2184</v>
      </c>
      <c r="G950" s="80" t="b">
        <v>0</v>
      </c>
      <c r="H950" s="80" t="b">
        <v>0</v>
      </c>
      <c r="I950" s="80" t="b">
        <v>0</v>
      </c>
      <c r="J950" s="80" t="b">
        <v>0</v>
      </c>
      <c r="K950" s="80" t="b">
        <v>0</v>
      </c>
      <c r="L950" s="80" t="b">
        <v>0</v>
      </c>
    </row>
    <row r="951" spans="1:12" ht="15">
      <c r="A951" s="81" t="s">
        <v>2238</v>
      </c>
      <c r="B951" s="80" t="s">
        <v>2229</v>
      </c>
      <c r="C951" s="80">
        <v>3</v>
      </c>
      <c r="D951" s="104">
        <v>0.0013709460356611046</v>
      </c>
      <c r="E951" s="104">
        <v>1.608656996381193</v>
      </c>
      <c r="F951" s="80" t="s">
        <v>2184</v>
      </c>
      <c r="G951" s="80" t="b">
        <v>0</v>
      </c>
      <c r="H951" s="80" t="b">
        <v>0</v>
      </c>
      <c r="I951" s="80" t="b">
        <v>0</v>
      </c>
      <c r="J951" s="80" t="b">
        <v>0</v>
      </c>
      <c r="K951" s="80" t="b">
        <v>0</v>
      </c>
      <c r="L951" s="80" t="b">
        <v>0</v>
      </c>
    </row>
    <row r="952" spans="1:12" ht="15">
      <c r="A952" s="81" t="s">
        <v>2364</v>
      </c>
      <c r="B952" s="80" t="s">
        <v>2303</v>
      </c>
      <c r="C952" s="80">
        <v>3</v>
      </c>
      <c r="D952" s="104">
        <v>0.0013709460356611046</v>
      </c>
      <c r="E952" s="104">
        <v>2.3446105669703816</v>
      </c>
      <c r="F952" s="80" t="s">
        <v>2184</v>
      </c>
      <c r="G952" s="80" t="b">
        <v>0</v>
      </c>
      <c r="H952" s="80" t="b">
        <v>0</v>
      </c>
      <c r="I952" s="80" t="b">
        <v>0</v>
      </c>
      <c r="J952" s="80" t="b">
        <v>0</v>
      </c>
      <c r="K952" s="80" t="b">
        <v>0</v>
      </c>
      <c r="L952" s="80" t="b">
        <v>0</v>
      </c>
    </row>
    <row r="953" spans="1:12" ht="15">
      <c r="A953" s="81" t="s">
        <v>2638</v>
      </c>
      <c r="B953" s="80" t="s">
        <v>2216</v>
      </c>
      <c r="C953" s="80">
        <v>3</v>
      </c>
      <c r="D953" s="104">
        <v>0.0013709460356611046</v>
      </c>
      <c r="E953" s="104">
        <v>1.7425505756424193</v>
      </c>
      <c r="F953" s="80" t="s">
        <v>2184</v>
      </c>
      <c r="G953" s="80" t="b">
        <v>0</v>
      </c>
      <c r="H953" s="80" t="b">
        <v>0</v>
      </c>
      <c r="I953" s="80" t="b">
        <v>0</v>
      </c>
      <c r="J953" s="80" t="b">
        <v>0</v>
      </c>
      <c r="K953" s="80" t="b">
        <v>0</v>
      </c>
      <c r="L953" s="80" t="b">
        <v>0</v>
      </c>
    </row>
    <row r="954" spans="1:12" ht="15">
      <c r="A954" s="81" t="s">
        <v>2612</v>
      </c>
      <c r="B954" s="80" t="s">
        <v>2450</v>
      </c>
      <c r="C954" s="80">
        <v>3</v>
      </c>
      <c r="D954" s="104">
        <v>0.0013709460356611046</v>
      </c>
      <c r="E954" s="104">
        <v>2.821731821690044</v>
      </c>
      <c r="F954" s="80" t="s">
        <v>2184</v>
      </c>
      <c r="G954" s="80" t="b">
        <v>0</v>
      </c>
      <c r="H954" s="80" t="b">
        <v>0</v>
      </c>
      <c r="I954" s="80" t="b">
        <v>0</v>
      </c>
      <c r="J954" s="80" t="b">
        <v>0</v>
      </c>
      <c r="K954" s="80" t="b">
        <v>0</v>
      </c>
      <c r="L954" s="80" t="b">
        <v>0</v>
      </c>
    </row>
    <row r="955" spans="1:12" ht="15">
      <c r="A955" s="81" t="s">
        <v>2371</v>
      </c>
      <c r="B955" s="80" t="s">
        <v>2242</v>
      </c>
      <c r="C955" s="80">
        <v>3</v>
      </c>
      <c r="D955" s="104">
        <v>0.0013709460356611046</v>
      </c>
      <c r="E955" s="104">
        <v>2.2319062867790933</v>
      </c>
      <c r="F955" s="80" t="s">
        <v>2184</v>
      </c>
      <c r="G955" s="80" t="b">
        <v>0</v>
      </c>
      <c r="H955" s="80" t="b">
        <v>0</v>
      </c>
      <c r="I955" s="80" t="b">
        <v>0</v>
      </c>
      <c r="J955" s="80" t="b">
        <v>0</v>
      </c>
      <c r="K955" s="80" t="b">
        <v>0</v>
      </c>
      <c r="L955" s="80" t="b">
        <v>0</v>
      </c>
    </row>
    <row r="956" spans="1:12" ht="15">
      <c r="A956" s="81" t="s">
        <v>2791</v>
      </c>
      <c r="B956" s="80" t="s">
        <v>2482</v>
      </c>
      <c r="C956" s="80">
        <v>3</v>
      </c>
      <c r="D956" s="104">
        <v>0.0013709460356611046</v>
      </c>
      <c r="E956" s="104">
        <v>2.821731821690044</v>
      </c>
      <c r="F956" s="80" t="s">
        <v>2184</v>
      </c>
      <c r="G956" s="80" t="b">
        <v>0</v>
      </c>
      <c r="H956" s="80" t="b">
        <v>0</v>
      </c>
      <c r="I956" s="80" t="b">
        <v>0</v>
      </c>
      <c r="J956" s="80" t="b">
        <v>0</v>
      </c>
      <c r="K956" s="80" t="b">
        <v>0</v>
      </c>
      <c r="L956" s="80" t="b">
        <v>0</v>
      </c>
    </row>
    <row r="957" spans="1:12" ht="15">
      <c r="A957" s="81" t="s">
        <v>2405</v>
      </c>
      <c r="B957" s="80" t="s">
        <v>2229</v>
      </c>
      <c r="C957" s="80">
        <v>3</v>
      </c>
      <c r="D957" s="104">
        <v>0.00208130026105018</v>
      </c>
      <c r="E957" s="104">
        <v>1.608656996381193</v>
      </c>
      <c r="F957" s="80" t="s">
        <v>2184</v>
      </c>
      <c r="G957" s="80" t="b">
        <v>0</v>
      </c>
      <c r="H957" s="80" t="b">
        <v>0</v>
      </c>
      <c r="I957" s="80" t="b">
        <v>0</v>
      </c>
      <c r="J957" s="80" t="b">
        <v>0</v>
      </c>
      <c r="K957" s="80" t="b">
        <v>0</v>
      </c>
      <c r="L957" s="80" t="b">
        <v>0</v>
      </c>
    </row>
    <row r="958" spans="1:12" ht="15">
      <c r="A958" s="81" t="s">
        <v>2245</v>
      </c>
      <c r="B958" s="80" t="s">
        <v>2323</v>
      </c>
      <c r="C958" s="80">
        <v>3</v>
      </c>
      <c r="D958" s="104">
        <v>0.0013709460356611046</v>
      </c>
      <c r="E958" s="104">
        <v>1.6967930850817443</v>
      </c>
      <c r="F958" s="80" t="s">
        <v>2184</v>
      </c>
      <c r="G958" s="80" t="b">
        <v>0</v>
      </c>
      <c r="H958" s="80" t="b">
        <v>0</v>
      </c>
      <c r="I958" s="80" t="b">
        <v>0</v>
      </c>
      <c r="J958" s="80" t="b">
        <v>0</v>
      </c>
      <c r="K958" s="80" t="b">
        <v>0</v>
      </c>
      <c r="L958" s="80" t="b">
        <v>0</v>
      </c>
    </row>
    <row r="959" spans="1:12" ht="15">
      <c r="A959" s="81" t="s">
        <v>2305</v>
      </c>
      <c r="B959" s="80" t="s">
        <v>2283</v>
      </c>
      <c r="C959" s="80">
        <v>3</v>
      </c>
      <c r="D959" s="104">
        <v>0.0013709460356611046</v>
      </c>
      <c r="E959" s="104">
        <v>2.6967930850817443</v>
      </c>
      <c r="F959" s="80" t="s">
        <v>2184</v>
      </c>
      <c r="G959" s="80" t="b">
        <v>0</v>
      </c>
      <c r="H959" s="80" t="b">
        <v>0</v>
      </c>
      <c r="I959" s="80" t="b">
        <v>0</v>
      </c>
      <c r="J959" s="80" t="b">
        <v>0</v>
      </c>
      <c r="K959" s="80" t="b">
        <v>0</v>
      </c>
      <c r="L959" s="80" t="b">
        <v>0</v>
      </c>
    </row>
    <row r="960" spans="1:12" ht="15">
      <c r="A960" s="81" t="s">
        <v>2485</v>
      </c>
      <c r="B960" s="80" t="s">
        <v>2215</v>
      </c>
      <c r="C960" s="80">
        <v>3</v>
      </c>
      <c r="D960" s="104">
        <v>0.0013709460356611046</v>
      </c>
      <c r="E960" s="104">
        <v>1.6967930850817443</v>
      </c>
      <c r="F960" s="80" t="s">
        <v>2184</v>
      </c>
      <c r="G960" s="80" t="b">
        <v>0</v>
      </c>
      <c r="H960" s="80" t="b">
        <v>0</v>
      </c>
      <c r="I960" s="80" t="b">
        <v>0</v>
      </c>
      <c r="J960" s="80" t="b">
        <v>0</v>
      </c>
      <c r="K960" s="80" t="b">
        <v>0</v>
      </c>
      <c r="L960" s="80" t="b">
        <v>0</v>
      </c>
    </row>
    <row r="961" spans="1:12" ht="15">
      <c r="A961" s="81" t="s">
        <v>2364</v>
      </c>
      <c r="B961" s="80" t="s">
        <v>2350</v>
      </c>
      <c r="C961" s="80">
        <v>3</v>
      </c>
      <c r="D961" s="104">
        <v>0.0013709460356611046</v>
      </c>
      <c r="E961" s="104">
        <v>2.043580571306401</v>
      </c>
      <c r="F961" s="80" t="s">
        <v>2184</v>
      </c>
      <c r="G961" s="80" t="b">
        <v>0</v>
      </c>
      <c r="H961" s="80" t="b">
        <v>0</v>
      </c>
      <c r="I961" s="80" t="b">
        <v>0</v>
      </c>
      <c r="J961" s="80" t="b">
        <v>0</v>
      </c>
      <c r="K961" s="80" t="b">
        <v>0</v>
      </c>
      <c r="L961" s="80" t="b">
        <v>0</v>
      </c>
    </row>
    <row r="962" spans="1:12" ht="15">
      <c r="A962" s="81" t="s">
        <v>2257</v>
      </c>
      <c r="B962" s="80" t="s">
        <v>2239</v>
      </c>
      <c r="C962" s="80">
        <v>3</v>
      </c>
      <c r="D962" s="104">
        <v>0.0013709460356611046</v>
      </c>
      <c r="E962" s="104">
        <v>2.05997098749457</v>
      </c>
      <c r="F962" s="80" t="s">
        <v>2184</v>
      </c>
      <c r="G962" s="80" t="b">
        <v>0</v>
      </c>
      <c r="H962" s="80" t="b">
        <v>0</v>
      </c>
      <c r="I962" s="80" t="b">
        <v>0</v>
      </c>
      <c r="J962" s="80" t="b">
        <v>0</v>
      </c>
      <c r="K962" s="80" t="b">
        <v>0</v>
      </c>
      <c r="L962" s="80" t="b">
        <v>0</v>
      </c>
    </row>
    <row r="963" spans="1:12" ht="15">
      <c r="A963" s="81" t="s">
        <v>2773</v>
      </c>
      <c r="B963" s="80" t="s">
        <v>2710</v>
      </c>
      <c r="C963" s="80">
        <v>3</v>
      </c>
      <c r="D963" s="104">
        <v>0.0013709460356611046</v>
      </c>
      <c r="E963" s="104">
        <v>2.821731821690044</v>
      </c>
      <c r="F963" s="80" t="s">
        <v>2184</v>
      </c>
      <c r="G963" s="80" t="b">
        <v>0</v>
      </c>
      <c r="H963" s="80" t="b">
        <v>0</v>
      </c>
      <c r="I963" s="80" t="b">
        <v>0</v>
      </c>
      <c r="J963" s="80" t="b">
        <v>0</v>
      </c>
      <c r="K963" s="80" t="b">
        <v>0</v>
      </c>
      <c r="L963" s="80" t="b">
        <v>0</v>
      </c>
    </row>
    <row r="964" spans="1:12" ht="15">
      <c r="A964" s="81" t="s">
        <v>2711</v>
      </c>
      <c r="B964" s="80" t="s">
        <v>2485</v>
      </c>
      <c r="C964" s="80">
        <v>3</v>
      </c>
      <c r="D964" s="104">
        <v>0.0013709460356611046</v>
      </c>
      <c r="E964" s="104">
        <v>2.821731821690044</v>
      </c>
      <c r="F964" s="80" t="s">
        <v>2184</v>
      </c>
      <c r="G964" s="80" t="b">
        <v>0</v>
      </c>
      <c r="H964" s="80" t="b">
        <v>0</v>
      </c>
      <c r="I964" s="80" t="b">
        <v>0</v>
      </c>
      <c r="J964" s="80" t="b">
        <v>0</v>
      </c>
      <c r="K964" s="80" t="b">
        <v>0</v>
      </c>
      <c r="L964" s="80" t="b">
        <v>0</v>
      </c>
    </row>
    <row r="965" spans="1:12" ht="15">
      <c r="A965" s="81" t="s">
        <v>2232</v>
      </c>
      <c r="B965" s="80" t="s">
        <v>2734</v>
      </c>
      <c r="C965" s="80">
        <v>3</v>
      </c>
      <c r="D965" s="104">
        <v>0.0013709460356611046</v>
      </c>
      <c r="E965" s="104">
        <v>2.5998830720736876</v>
      </c>
      <c r="F965" s="80" t="s">
        <v>2184</v>
      </c>
      <c r="G965" s="80" t="b">
        <v>0</v>
      </c>
      <c r="H965" s="80" t="b">
        <v>0</v>
      </c>
      <c r="I965" s="80" t="b">
        <v>0</v>
      </c>
      <c r="J965" s="80" t="b">
        <v>0</v>
      </c>
      <c r="K965" s="80" t="b">
        <v>0</v>
      </c>
      <c r="L965" s="80" t="b">
        <v>0</v>
      </c>
    </row>
    <row r="966" spans="1:12" ht="15">
      <c r="A966" s="81" t="s">
        <v>2561</v>
      </c>
      <c r="B966" s="80" t="s">
        <v>2217</v>
      </c>
      <c r="C966" s="80">
        <v>3</v>
      </c>
      <c r="D966" s="104">
        <v>0.0013709460356611046</v>
      </c>
      <c r="E966" s="104">
        <v>2.094733093753782</v>
      </c>
      <c r="F966" s="80" t="s">
        <v>2184</v>
      </c>
      <c r="G966" s="80" t="b">
        <v>0</v>
      </c>
      <c r="H966" s="80" t="b">
        <v>0</v>
      </c>
      <c r="I966" s="80" t="b">
        <v>0</v>
      </c>
      <c r="J966" s="80" t="b">
        <v>0</v>
      </c>
      <c r="K966" s="80" t="b">
        <v>0</v>
      </c>
      <c r="L966" s="80" t="b">
        <v>0</v>
      </c>
    </row>
    <row r="967" spans="1:12" ht="15">
      <c r="A967" s="81" t="s">
        <v>2336</v>
      </c>
      <c r="B967" s="80" t="s">
        <v>2290</v>
      </c>
      <c r="C967" s="80">
        <v>3</v>
      </c>
      <c r="D967" s="104">
        <v>0.0013709460356611046</v>
      </c>
      <c r="E967" s="104">
        <v>2.298853076409707</v>
      </c>
      <c r="F967" s="80" t="s">
        <v>2184</v>
      </c>
      <c r="G967" s="80" t="b">
        <v>1</v>
      </c>
      <c r="H967" s="80" t="b">
        <v>0</v>
      </c>
      <c r="I967" s="80" t="b">
        <v>0</v>
      </c>
      <c r="J967" s="80" t="b">
        <v>0</v>
      </c>
      <c r="K967" s="80" t="b">
        <v>0</v>
      </c>
      <c r="L967" s="80" t="b">
        <v>0</v>
      </c>
    </row>
    <row r="968" spans="1:12" ht="15">
      <c r="A968" s="81" t="s">
        <v>2562</v>
      </c>
      <c r="B968" s="80" t="s">
        <v>2336</v>
      </c>
      <c r="C968" s="80">
        <v>3</v>
      </c>
      <c r="D968" s="104">
        <v>0.0013709460356611046</v>
      </c>
      <c r="E968" s="104">
        <v>2.4749443354653877</v>
      </c>
      <c r="F968" s="80" t="s">
        <v>2184</v>
      </c>
      <c r="G968" s="80" t="b">
        <v>0</v>
      </c>
      <c r="H968" s="80" t="b">
        <v>0</v>
      </c>
      <c r="I968" s="80" t="b">
        <v>0</v>
      </c>
      <c r="J968" s="80" t="b">
        <v>1</v>
      </c>
      <c r="K968" s="80" t="b">
        <v>0</v>
      </c>
      <c r="L968" s="80" t="b">
        <v>0</v>
      </c>
    </row>
    <row r="969" spans="1:12" ht="15">
      <c r="A969" s="81" t="s">
        <v>2520</v>
      </c>
      <c r="B969" s="80" t="s">
        <v>2286</v>
      </c>
      <c r="C969" s="80">
        <v>3</v>
      </c>
      <c r="D969" s="104">
        <v>0.0013709460356611046</v>
      </c>
      <c r="E969" s="104">
        <v>2.45375503639545</v>
      </c>
      <c r="F969" s="80" t="s">
        <v>2184</v>
      </c>
      <c r="G969" s="80" t="b">
        <v>0</v>
      </c>
      <c r="H969" s="80" t="b">
        <v>0</v>
      </c>
      <c r="I969" s="80" t="b">
        <v>0</v>
      </c>
      <c r="J969" s="80" t="b">
        <v>0</v>
      </c>
      <c r="K969" s="80" t="b">
        <v>0</v>
      </c>
      <c r="L969" s="80" t="b">
        <v>0</v>
      </c>
    </row>
    <row r="970" spans="1:12" ht="15">
      <c r="A970" s="81" t="s">
        <v>2229</v>
      </c>
      <c r="B970" s="80" t="s">
        <v>2674</v>
      </c>
      <c r="C970" s="80">
        <v>3</v>
      </c>
      <c r="D970" s="104">
        <v>0.00208130026105018</v>
      </c>
      <c r="E970" s="104">
        <v>1.8516950450674874</v>
      </c>
      <c r="F970" s="80" t="s">
        <v>2184</v>
      </c>
      <c r="G970" s="80" t="b">
        <v>0</v>
      </c>
      <c r="H970" s="80" t="b">
        <v>0</v>
      </c>
      <c r="I970" s="80" t="b">
        <v>0</v>
      </c>
      <c r="J970" s="80" t="b">
        <v>0</v>
      </c>
      <c r="K970" s="80" t="b">
        <v>0</v>
      </c>
      <c r="L970" s="80" t="b">
        <v>0</v>
      </c>
    </row>
    <row r="971" spans="1:12" ht="15">
      <c r="A971" s="81" t="s">
        <v>2434</v>
      </c>
      <c r="B971" s="80" t="s">
        <v>2371</v>
      </c>
      <c r="C971" s="80">
        <v>3</v>
      </c>
      <c r="D971" s="104">
        <v>0.0013709460356611046</v>
      </c>
      <c r="E971" s="104">
        <v>2.5998830720736876</v>
      </c>
      <c r="F971" s="80" t="s">
        <v>2184</v>
      </c>
      <c r="G971" s="80" t="b">
        <v>0</v>
      </c>
      <c r="H971" s="80" t="b">
        <v>0</v>
      </c>
      <c r="I971" s="80" t="b">
        <v>0</v>
      </c>
      <c r="J971" s="80" t="b">
        <v>0</v>
      </c>
      <c r="K971" s="80" t="b">
        <v>0</v>
      </c>
      <c r="L971" s="80" t="b">
        <v>0</v>
      </c>
    </row>
    <row r="972" spans="1:12" ht="15">
      <c r="A972" s="81" t="s">
        <v>2249</v>
      </c>
      <c r="B972" s="80" t="s">
        <v>2837</v>
      </c>
      <c r="C972" s="80">
        <v>3</v>
      </c>
      <c r="D972" s="104">
        <v>0.0013709460356611046</v>
      </c>
      <c r="E972" s="104">
        <v>2.3446105669703816</v>
      </c>
      <c r="F972" s="80" t="s">
        <v>2184</v>
      </c>
      <c r="G972" s="80" t="b">
        <v>0</v>
      </c>
      <c r="H972" s="80" t="b">
        <v>0</v>
      </c>
      <c r="I972" s="80" t="b">
        <v>0</v>
      </c>
      <c r="J972" s="80" t="b">
        <v>0</v>
      </c>
      <c r="K972" s="80" t="b">
        <v>0</v>
      </c>
      <c r="L972" s="80" t="b">
        <v>0</v>
      </c>
    </row>
    <row r="973" spans="1:12" ht="15">
      <c r="A973" s="81" t="s">
        <v>2501</v>
      </c>
      <c r="B973" s="80" t="s">
        <v>2242</v>
      </c>
      <c r="C973" s="80">
        <v>3</v>
      </c>
      <c r="D973" s="104">
        <v>0.0013709460356611046</v>
      </c>
      <c r="E973" s="104">
        <v>2.45375503639545</v>
      </c>
      <c r="F973" s="80" t="s">
        <v>2184</v>
      </c>
      <c r="G973" s="80" t="b">
        <v>0</v>
      </c>
      <c r="H973" s="80" t="b">
        <v>0</v>
      </c>
      <c r="I973" s="80" t="b">
        <v>0</v>
      </c>
      <c r="J973" s="80" t="b">
        <v>0</v>
      </c>
      <c r="K973" s="80" t="b">
        <v>0</v>
      </c>
      <c r="L973" s="80" t="b">
        <v>0</v>
      </c>
    </row>
    <row r="974" spans="1:12" ht="15">
      <c r="A974" s="81" t="s">
        <v>2674</v>
      </c>
      <c r="B974" s="80" t="s">
        <v>2610</v>
      </c>
      <c r="C974" s="80">
        <v>3</v>
      </c>
      <c r="D974" s="104">
        <v>0.00208130026105018</v>
      </c>
      <c r="E974" s="104">
        <v>2.5718543484734444</v>
      </c>
      <c r="F974" s="80" t="s">
        <v>2184</v>
      </c>
      <c r="G974" s="80" t="b">
        <v>0</v>
      </c>
      <c r="H974" s="80" t="b">
        <v>0</v>
      </c>
      <c r="I974" s="80" t="b">
        <v>0</v>
      </c>
      <c r="J974" s="80" t="b">
        <v>0</v>
      </c>
      <c r="K974" s="80" t="b">
        <v>0</v>
      </c>
      <c r="L974" s="80" t="b">
        <v>0</v>
      </c>
    </row>
    <row r="975" spans="1:12" ht="15">
      <c r="A975" s="81" t="s">
        <v>2221</v>
      </c>
      <c r="B975" s="80" t="s">
        <v>2434</v>
      </c>
      <c r="C975" s="80">
        <v>3</v>
      </c>
      <c r="D975" s="104">
        <v>0.0013709460356611046</v>
      </c>
      <c r="E975" s="104">
        <v>1.9978230807457256</v>
      </c>
      <c r="F975" s="80" t="s">
        <v>2184</v>
      </c>
      <c r="G975" s="80" t="b">
        <v>0</v>
      </c>
      <c r="H975" s="80" t="b">
        <v>0</v>
      </c>
      <c r="I975" s="80" t="b">
        <v>0</v>
      </c>
      <c r="J975" s="80" t="b">
        <v>0</v>
      </c>
      <c r="K975" s="80" t="b">
        <v>0</v>
      </c>
      <c r="L975" s="80" t="b">
        <v>0</v>
      </c>
    </row>
    <row r="976" spans="1:12" ht="15">
      <c r="A976" s="81" t="s">
        <v>2874</v>
      </c>
      <c r="B976" s="80" t="s">
        <v>2860</v>
      </c>
      <c r="C976" s="80">
        <v>3</v>
      </c>
      <c r="D976" s="104">
        <v>0.0013709460356611046</v>
      </c>
      <c r="E976" s="104">
        <v>2.821731821690044</v>
      </c>
      <c r="F976" s="80" t="s">
        <v>2184</v>
      </c>
      <c r="G976" s="80" t="b">
        <v>0</v>
      </c>
      <c r="H976" s="80" t="b">
        <v>0</v>
      </c>
      <c r="I976" s="80" t="b">
        <v>0</v>
      </c>
      <c r="J976" s="80" t="b">
        <v>0</v>
      </c>
      <c r="K976" s="80" t="b">
        <v>0</v>
      </c>
      <c r="L976" s="80" t="b">
        <v>0</v>
      </c>
    </row>
    <row r="977" spans="1:12" ht="15">
      <c r="A977" s="81" t="s">
        <v>2311</v>
      </c>
      <c r="B977" s="80" t="s">
        <v>2250</v>
      </c>
      <c r="C977" s="80">
        <v>3</v>
      </c>
      <c r="D977" s="104">
        <v>0.0013709460356611046</v>
      </c>
      <c r="E977" s="104">
        <v>2.298853076409707</v>
      </c>
      <c r="F977" s="80" t="s">
        <v>2184</v>
      </c>
      <c r="G977" s="80" t="b">
        <v>0</v>
      </c>
      <c r="H977" s="80" t="b">
        <v>0</v>
      </c>
      <c r="I977" s="80" t="b">
        <v>0</v>
      </c>
      <c r="J977" s="80" t="b">
        <v>0</v>
      </c>
      <c r="K977" s="80" t="b">
        <v>0</v>
      </c>
      <c r="L977" s="80" t="b">
        <v>0</v>
      </c>
    </row>
    <row r="978" spans="1:12" ht="15">
      <c r="A978" s="81" t="s">
        <v>2538</v>
      </c>
      <c r="B978" s="80" t="s">
        <v>2711</v>
      </c>
      <c r="C978" s="80">
        <v>3</v>
      </c>
      <c r="D978" s="104">
        <v>0.0013709460356611046</v>
      </c>
      <c r="E978" s="104">
        <v>2.821731821690044</v>
      </c>
      <c r="F978" s="80" t="s">
        <v>2184</v>
      </c>
      <c r="G978" s="80" t="b">
        <v>0</v>
      </c>
      <c r="H978" s="80" t="b">
        <v>0</v>
      </c>
      <c r="I978" s="80" t="b">
        <v>0</v>
      </c>
      <c r="J978" s="80" t="b">
        <v>0</v>
      </c>
      <c r="K978" s="80" t="b">
        <v>0</v>
      </c>
      <c r="L978" s="80" t="b">
        <v>0</v>
      </c>
    </row>
    <row r="979" spans="1:12" ht="15">
      <c r="A979" s="81" t="s">
        <v>2665</v>
      </c>
      <c r="B979" s="80" t="s">
        <v>2761</v>
      </c>
      <c r="C979" s="80">
        <v>3</v>
      </c>
      <c r="D979" s="104">
        <v>0.00208130026105018</v>
      </c>
      <c r="E979" s="104">
        <v>2.6967930850817443</v>
      </c>
      <c r="F979" s="80" t="s">
        <v>2184</v>
      </c>
      <c r="G979" s="80" t="b">
        <v>0</v>
      </c>
      <c r="H979" s="80" t="b">
        <v>0</v>
      </c>
      <c r="I979" s="80" t="b">
        <v>0</v>
      </c>
      <c r="J979" s="80" t="b">
        <v>0</v>
      </c>
      <c r="K979" s="80" t="b">
        <v>0</v>
      </c>
      <c r="L979" s="80" t="b">
        <v>0</v>
      </c>
    </row>
    <row r="980" spans="1:12" ht="15">
      <c r="A980" s="81" t="s">
        <v>2215</v>
      </c>
      <c r="B980" s="80" t="s">
        <v>2353</v>
      </c>
      <c r="C980" s="80">
        <v>3</v>
      </c>
      <c r="D980" s="104">
        <v>0.0013709460356611046</v>
      </c>
      <c r="E980" s="104">
        <v>1.474944335465388</v>
      </c>
      <c r="F980" s="80" t="s">
        <v>2184</v>
      </c>
      <c r="G980" s="80" t="b">
        <v>0</v>
      </c>
      <c r="H980" s="80" t="b">
        <v>0</v>
      </c>
      <c r="I980" s="80" t="b">
        <v>0</v>
      </c>
      <c r="J980" s="80" t="b">
        <v>0</v>
      </c>
      <c r="K980" s="80" t="b">
        <v>0</v>
      </c>
      <c r="L980" s="80" t="b">
        <v>0</v>
      </c>
    </row>
    <row r="981" spans="1:12" ht="15">
      <c r="A981" s="81" t="s">
        <v>2734</v>
      </c>
      <c r="B981" s="80" t="s">
        <v>2249</v>
      </c>
      <c r="C981" s="80">
        <v>3</v>
      </c>
      <c r="D981" s="104">
        <v>0.0013709460356611046</v>
      </c>
      <c r="E981" s="104">
        <v>2.3446105669703816</v>
      </c>
      <c r="F981" s="80" t="s">
        <v>2184</v>
      </c>
      <c r="G981" s="80" t="b">
        <v>0</v>
      </c>
      <c r="H981" s="80" t="b">
        <v>0</v>
      </c>
      <c r="I981" s="80" t="b">
        <v>0</v>
      </c>
      <c r="J981" s="80" t="b">
        <v>0</v>
      </c>
      <c r="K981" s="80" t="b">
        <v>0</v>
      </c>
      <c r="L981" s="80" t="b">
        <v>0</v>
      </c>
    </row>
    <row r="982" spans="1:12" ht="15">
      <c r="A982" s="81" t="s">
        <v>2680</v>
      </c>
      <c r="B982" s="80" t="s">
        <v>2216</v>
      </c>
      <c r="C982" s="80">
        <v>3</v>
      </c>
      <c r="D982" s="104">
        <v>0.001633116644677007</v>
      </c>
      <c r="E982" s="104">
        <v>1.8674893122507195</v>
      </c>
      <c r="F982" s="80" t="s">
        <v>2184</v>
      </c>
      <c r="G982" s="80" t="b">
        <v>0</v>
      </c>
      <c r="H982" s="80" t="b">
        <v>0</v>
      </c>
      <c r="I982" s="80" t="b">
        <v>0</v>
      </c>
      <c r="J982" s="80" t="b">
        <v>0</v>
      </c>
      <c r="K982" s="80" t="b">
        <v>0</v>
      </c>
      <c r="L982" s="80" t="b">
        <v>0</v>
      </c>
    </row>
    <row r="983" spans="1:12" ht="15">
      <c r="A983" s="81" t="s">
        <v>2860</v>
      </c>
      <c r="B983" s="80" t="s">
        <v>2245</v>
      </c>
      <c r="C983" s="80">
        <v>3</v>
      </c>
      <c r="D983" s="104">
        <v>0.0013709460356611046</v>
      </c>
      <c r="E983" s="104">
        <v>1.9978230807457256</v>
      </c>
      <c r="F983" s="80" t="s">
        <v>2184</v>
      </c>
      <c r="G983" s="80" t="b">
        <v>0</v>
      </c>
      <c r="H983" s="80" t="b">
        <v>0</v>
      </c>
      <c r="I983" s="80" t="b">
        <v>0</v>
      </c>
      <c r="J983" s="80" t="b">
        <v>0</v>
      </c>
      <c r="K983" s="80" t="b">
        <v>0</v>
      </c>
      <c r="L983" s="80" t="b">
        <v>0</v>
      </c>
    </row>
    <row r="984" spans="1:12" ht="15">
      <c r="A984" s="81" t="s">
        <v>2216</v>
      </c>
      <c r="B984" s="80" t="s">
        <v>2773</v>
      </c>
      <c r="C984" s="80">
        <v>3</v>
      </c>
      <c r="D984" s="104">
        <v>0.0013709460356611046</v>
      </c>
      <c r="E984" s="104">
        <v>1.8674893122507195</v>
      </c>
      <c r="F984" s="80" t="s">
        <v>2184</v>
      </c>
      <c r="G984" s="80" t="b">
        <v>0</v>
      </c>
      <c r="H984" s="80" t="b">
        <v>0</v>
      </c>
      <c r="I984" s="80" t="b">
        <v>0</v>
      </c>
      <c r="J984" s="80" t="b">
        <v>0</v>
      </c>
      <c r="K984" s="80" t="b">
        <v>0</v>
      </c>
      <c r="L984" s="80" t="b">
        <v>0</v>
      </c>
    </row>
    <row r="985" spans="1:12" ht="15">
      <c r="A985" s="81" t="s">
        <v>2452</v>
      </c>
      <c r="B985" s="80" t="s">
        <v>2221</v>
      </c>
      <c r="C985" s="80">
        <v>3</v>
      </c>
      <c r="D985" s="104">
        <v>0.0013709460356611046</v>
      </c>
      <c r="E985" s="104">
        <v>1.9978230807457256</v>
      </c>
      <c r="F985" s="80" t="s">
        <v>2184</v>
      </c>
      <c r="G985" s="80" t="b">
        <v>0</v>
      </c>
      <c r="H985" s="80" t="b">
        <v>0</v>
      </c>
      <c r="I985" s="80" t="b">
        <v>0</v>
      </c>
      <c r="J985" s="80" t="b">
        <v>0</v>
      </c>
      <c r="K985" s="80" t="b">
        <v>0</v>
      </c>
      <c r="L985" s="80" t="b">
        <v>0</v>
      </c>
    </row>
    <row r="986" spans="1:12" ht="15">
      <c r="A986" s="81" t="s">
        <v>2842</v>
      </c>
      <c r="B986" s="80" t="s">
        <v>2725</v>
      </c>
      <c r="C986" s="80">
        <v>3</v>
      </c>
      <c r="D986" s="104">
        <v>0.0013709460356611046</v>
      </c>
      <c r="E986" s="104">
        <v>2.821731821690044</v>
      </c>
      <c r="F986" s="80" t="s">
        <v>2184</v>
      </c>
      <c r="G986" s="80" t="b">
        <v>0</v>
      </c>
      <c r="H986" s="80" t="b">
        <v>0</v>
      </c>
      <c r="I986" s="80" t="b">
        <v>0</v>
      </c>
      <c r="J986" s="80" t="b">
        <v>0</v>
      </c>
      <c r="K986" s="80" t="b">
        <v>0</v>
      </c>
      <c r="L986" s="80" t="b">
        <v>0</v>
      </c>
    </row>
    <row r="987" spans="1:12" ht="15">
      <c r="A987" s="81" t="s">
        <v>2837</v>
      </c>
      <c r="B987" s="80" t="s">
        <v>2538</v>
      </c>
      <c r="C987" s="80">
        <v>3</v>
      </c>
      <c r="D987" s="104">
        <v>0.0013709460356611046</v>
      </c>
      <c r="E987" s="104">
        <v>2.821731821690044</v>
      </c>
      <c r="F987" s="80" t="s">
        <v>2184</v>
      </c>
      <c r="G987" s="80" t="b">
        <v>0</v>
      </c>
      <c r="H987" s="80" t="b">
        <v>0</v>
      </c>
      <c r="I987" s="80" t="b">
        <v>0</v>
      </c>
      <c r="J987" s="80" t="b">
        <v>0</v>
      </c>
      <c r="K987" s="80" t="b">
        <v>0</v>
      </c>
      <c r="L987" s="80" t="b">
        <v>0</v>
      </c>
    </row>
    <row r="988" spans="1:12" ht="15">
      <c r="A988" s="81" t="s">
        <v>2783</v>
      </c>
      <c r="B988" s="80" t="s">
        <v>2817</v>
      </c>
      <c r="C988" s="80">
        <v>3</v>
      </c>
      <c r="D988" s="104">
        <v>0.0013709460356611046</v>
      </c>
      <c r="E988" s="104">
        <v>2.821731821690044</v>
      </c>
      <c r="F988" s="80" t="s">
        <v>2184</v>
      </c>
      <c r="G988" s="80" t="b">
        <v>0</v>
      </c>
      <c r="H988" s="80" t="b">
        <v>0</v>
      </c>
      <c r="I988" s="80" t="b">
        <v>0</v>
      </c>
      <c r="J988" s="80" t="b">
        <v>0</v>
      </c>
      <c r="K988" s="80" t="b">
        <v>0</v>
      </c>
      <c r="L988" s="80" t="b">
        <v>0</v>
      </c>
    </row>
    <row r="989" spans="1:12" ht="15">
      <c r="A989" s="81" t="s">
        <v>2360</v>
      </c>
      <c r="B989" s="80" t="s">
        <v>2226</v>
      </c>
      <c r="C989" s="80">
        <v>3</v>
      </c>
      <c r="D989" s="104">
        <v>0.0013709460356611046</v>
      </c>
      <c r="E989" s="104">
        <v>1.900913067737669</v>
      </c>
      <c r="F989" s="80" t="s">
        <v>2184</v>
      </c>
      <c r="G989" s="80" t="b">
        <v>0</v>
      </c>
      <c r="H989" s="80" t="b">
        <v>0</v>
      </c>
      <c r="I989" s="80" t="b">
        <v>0</v>
      </c>
      <c r="J989" s="80" t="b">
        <v>0</v>
      </c>
      <c r="K989" s="80" t="b">
        <v>0</v>
      </c>
      <c r="L989" s="80" t="b">
        <v>0</v>
      </c>
    </row>
    <row r="990" spans="1:12" ht="15">
      <c r="A990" s="81" t="s">
        <v>2657</v>
      </c>
      <c r="B990" s="80" t="s">
        <v>2216</v>
      </c>
      <c r="C990" s="80">
        <v>3</v>
      </c>
      <c r="D990" s="104">
        <v>0.0013709460356611046</v>
      </c>
      <c r="E990" s="104">
        <v>1.8674893122507195</v>
      </c>
      <c r="F990" s="80" t="s">
        <v>2184</v>
      </c>
      <c r="G990" s="80" t="b">
        <v>0</v>
      </c>
      <c r="H990" s="80" t="b">
        <v>0</v>
      </c>
      <c r="I990" s="80" t="b">
        <v>0</v>
      </c>
      <c r="J990" s="80" t="b">
        <v>0</v>
      </c>
      <c r="K990" s="80" t="b">
        <v>0</v>
      </c>
      <c r="L990" s="80" t="b">
        <v>0</v>
      </c>
    </row>
    <row r="991" spans="1:12" ht="15">
      <c r="A991" s="81" t="s">
        <v>2290</v>
      </c>
      <c r="B991" s="80" t="s">
        <v>2445</v>
      </c>
      <c r="C991" s="80">
        <v>3</v>
      </c>
      <c r="D991" s="104">
        <v>0.0013709460356611046</v>
      </c>
      <c r="E991" s="104">
        <v>2.2196718303620817</v>
      </c>
      <c r="F991" s="80" t="s">
        <v>2184</v>
      </c>
      <c r="G991" s="80" t="b">
        <v>0</v>
      </c>
      <c r="H991" s="80" t="b">
        <v>0</v>
      </c>
      <c r="I991" s="80" t="b">
        <v>0</v>
      </c>
      <c r="J991" s="80" t="b">
        <v>0</v>
      </c>
      <c r="K991" s="80" t="b">
        <v>0</v>
      </c>
      <c r="L991" s="80" t="b">
        <v>0</v>
      </c>
    </row>
    <row r="992" spans="1:12" ht="15">
      <c r="A992" s="81" t="s">
        <v>2350</v>
      </c>
      <c r="B992" s="80" t="s">
        <v>2803</v>
      </c>
      <c r="C992" s="80">
        <v>3</v>
      </c>
      <c r="D992" s="104">
        <v>0.001633116644677007</v>
      </c>
      <c r="E992" s="104">
        <v>2.520701826026063</v>
      </c>
      <c r="F992" s="80" t="s">
        <v>2184</v>
      </c>
      <c r="G992" s="80" t="b">
        <v>0</v>
      </c>
      <c r="H992" s="80" t="b">
        <v>0</v>
      </c>
      <c r="I992" s="80" t="b">
        <v>0</v>
      </c>
      <c r="J992" s="80" t="b">
        <v>0</v>
      </c>
      <c r="K992" s="80" t="b">
        <v>0</v>
      </c>
      <c r="L992" s="80" t="b">
        <v>0</v>
      </c>
    </row>
    <row r="993" spans="1:12" ht="15">
      <c r="A993" s="81" t="s">
        <v>2477</v>
      </c>
      <c r="B993" s="80" t="s">
        <v>2615</v>
      </c>
      <c r="C993" s="80">
        <v>3</v>
      </c>
      <c r="D993" s="104">
        <v>0.0013709460356611046</v>
      </c>
      <c r="E993" s="104">
        <v>2.6967930850817443</v>
      </c>
      <c r="F993" s="80" t="s">
        <v>2184</v>
      </c>
      <c r="G993" s="80" t="b">
        <v>0</v>
      </c>
      <c r="H993" s="80" t="b">
        <v>0</v>
      </c>
      <c r="I993" s="80" t="b">
        <v>0</v>
      </c>
      <c r="J993" s="80" t="b">
        <v>0</v>
      </c>
      <c r="K993" s="80" t="b">
        <v>0</v>
      </c>
      <c r="L993" s="80" t="b">
        <v>0</v>
      </c>
    </row>
    <row r="994" spans="1:12" ht="15">
      <c r="A994" s="81" t="s">
        <v>2216</v>
      </c>
      <c r="B994" s="80" t="s">
        <v>2246</v>
      </c>
      <c r="C994" s="80">
        <v>3</v>
      </c>
      <c r="D994" s="104">
        <v>0.0013709460356611046</v>
      </c>
      <c r="E994" s="104">
        <v>1.1984825312921437</v>
      </c>
      <c r="F994" s="80" t="s">
        <v>2184</v>
      </c>
      <c r="G994" s="80" t="b">
        <v>0</v>
      </c>
      <c r="H994" s="80" t="b">
        <v>0</v>
      </c>
      <c r="I994" s="80" t="b">
        <v>0</v>
      </c>
      <c r="J994" s="80" t="b">
        <v>0</v>
      </c>
      <c r="K994" s="80" t="b">
        <v>0</v>
      </c>
      <c r="L994" s="80" t="b">
        <v>0</v>
      </c>
    </row>
    <row r="995" spans="1:12" ht="15">
      <c r="A995" s="81" t="s">
        <v>2245</v>
      </c>
      <c r="B995" s="80" t="s">
        <v>2657</v>
      </c>
      <c r="C995" s="80">
        <v>3</v>
      </c>
      <c r="D995" s="104">
        <v>0.0013709460356611046</v>
      </c>
      <c r="E995" s="104">
        <v>1.9978230807457256</v>
      </c>
      <c r="F995" s="80" t="s">
        <v>2184</v>
      </c>
      <c r="G995" s="80" t="b">
        <v>0</v>
      </c>
      <c r="H995" s="80" t="b">
        <v>0</v>
      </c>
      <c r="I995" s="80" t="b">
        <v>0</v>
      </c>
      <c r="J995" s="80" t="b">
        <v>0</v>
      </c>
      <c r="K995" s="80" t="b">
        <v>0</v>
      </c>
      <c r="L995" s="80" t="b">
        <v>0</v>
      </c>
    </row>
    <row r="996" spans="1:12" ht="15">
      <c r="A996" s="81" t="s">
        <v>2615</v>
      </c>
      <c r="B996" s="80" t="s">
        <v>2638</v>
      </c>
      <c r="C996" s="80">
        <v>3</v>
      </c>
      <c r="D996" s="104">
        <v>0.0013709460356611046</v>
      </c>
      <c r="E996" s="104">
        <v>2.6967930850817443</v>
      </c>
      <c r="F996" s="80" t="s">
        <v>2184</v>
      </c>
      <c r="G996" s="80" t="b">
        <v>0</v>
      </c>
      <c r="H996" s="80" t="b">
        <v>0</v>
      </c>
      <c r="I996" s="80" t="b">
        <v>0</v>
      </c>
      <c r="J996" s="80" t="b">
        <v>0</v>
      </c>
      <c r="K996" s="80" t="b">
        <v>0</v>
      </c>
      <c r="L996" s="80" t="b">
        <v>0</v>
      </c>
    </row>
    <row r="997" spans="1:12" ht="15">
      <c r="A997" s="81" t="s">
        <v>2353</v>
      </c>
      <c r="B997" s="80" t="s">
        <v>2355</v>
      </c>
      <c r="C997" s="80">
        <v>3</v>
      </c>
      <c r="D997" s="104">
        <v>0.0013709460356611046</v>
      </c>
      <c r="E997" s="104">
        <v>2.5998830720736876</v>
      </c>
      <c r="F997" s="80" t="s">
        <v>2184</v>
      </c>
      <c r="G997" s="80" t="b">
        <v>0</v>
      </c>
      <c r="H997" s="80" t="b">
        <v>0</v>
      </c>
      <c r="I997" s="80" t="b">
        <v>0</v>
      </c>
      <c r="J997" s="80" t="b">
        <v>0</v>
      </c>
      <c r="K997" s="80" t="b">
        <v>0</v>
      </c>
      <c r="L997" s="80" t="b">
        <v>0</v>
      </c>
    </row>
    <row r="998" spans="1:12" ht="15">
      <c r="A998" s="81" t="s">
        <v>2229</v>
      </c>
      <c r="B998" s="80" t="s">
        <v>2520</v>
      </c>
      <c r="C998" s="80">
        <v>3</v>
      </c>
      <c r="D998" s="104">
        <v>0.0013709460356611046</v>
      </c>
      <c r="E998" s="104">
        <v>1.9766337816757875</v>
      </c>
      <c r="F998" s="80" t="s">
        <v>2184</v>
      </c>
      <c r="G998" s="80" t="b">
        <v>0</v>
      </c>
      <c r="H998" s="80" t="b">
        <v>0</v>
      </c>
      <c r="I998" s="80" t="b">
        <v>0</v>
      </c>
      <c r="J998" s="80" t="b">
        <v>0</v>
      </c>
      <c r="K998" s="80" t="b">
        <v>0</v>
      </c>
      <c r="L998" s="80" t="b">
        <v>0</v>
      </c>
    </row>
    <row r="999" spans="1:12" ht="15">
      <c r="A999" s="81" t="s">
        <v>2861</v>
      </c>
      <c r="B999" s="80" t="s">
        <v>2241</v>
      </c>
      <c r="C999" s="80">
        <v>3</v>
      </c>
      <c r="D999" s="104">
        <v>0.00208130026105018</v>
      </c>
      <c r="E999" s="104">
        <v>2.45375503639545</v>
      </c>
      <c r="F999" s="80" t="s">
        <v>2184</v>
      </c>
      <c r="G999" s="80" t="b">
        <v>0</v>
      </c>
      <c r="H999" s="80" t="b">
        <v>0</v>
      </c>
      <c r="I999" s="80" t="b">
        <v>0</v>
      </c>
      <c r="J999" s="80" t="b">
        <v>0</v>
      </c>
      <c r="K999" s="80" t="b">
        <v>0</v>
      </c>
      <c r="L999" s="80" t="b">
        <v>0</v>
      </c>
    </row>
    <row r="1000" spans="1:12" ht="15">
      <c r="A1000" s="81" t="s">
        <v>2224</v>
      </c>
      <c r="B1000" s="80" t="s">
        <v>2477</v>
      </c>
      <c r="C1000" s="80">
        <v>3</v>
      </c>
      <c r="D1000" s="104">
        <v>0.0013709460356611046</v>
      </c>
      <c r="E1000" s="104">
        <v>1.8951607388485776</v>
      </c>
      <c r="F1000" s="80" t="s">
        <v>2184</v>
      </c>
      <c r="G1000" s="80" t="b">
        <v>0</v>
      </c>
      <c r="H1000" s="80" t="b">
        <v>0</v>
      </c>
      <c r="I1000" s="80" t="b">
        <v>0</v>
      </c>
      <c r="J1000" s="80" t="b">
        <v>0</v>
      </c>
      <c r="K1000" s="80" t="b">
        <v>0</v>
      </c>
      <c r="L1000" s="80" t="b">
        <v>0</v>
      </c>
    </row>
    <row r="1001" spans="1:12" ht="15">
      <c r="A1001" s="81" t="s">
        <v>2445</v>
      </c>
      <c r="B1001" s="80" t="s">
        <v>2396</v>
      </c>
      <c r="C1001" s="80">
        <v>3</v>
      </c>
      <c r="D1001" s="104">
        <v>0.0013709460356611046</v>
      </c>
      <c r="E1001" s="104">
        <v>2.395763089417763</v>
      </c>
      <c r="F1001" s="80" t="s">
        <v>2184</v>
      </c>
      <c r="G1001" s="80" t="b">
        <v>0</v>
      </c>
      <c r="H1001" s="80" t="b">
        <v>0</v>
      </c>
      <c r="I1001" s="80" t="b">
        <v>0</v>
      </c>
      <c r="J1001" s="80" t="b">
        <v>0</v>
      </c>
      <c r="K1001" s="80" t="b">
        <v>0</v>
      </c>
      <c r="L1001" s="80" t="b">
        <v>0</v>
      </c>
    </row>
    <row r="1002" spans="1:12" ht="15">
      <c r="A1002" s="81" t="s">
        <v>2373</v>
      </c>
      <c r="B1002" s="80" t="s">
        <v>2360</v>
      </c>
      <c r="C1002" s="80">
        <v>3</v>
      </c>
      <c r="D1002" s="104">
        <v>0.0013709460356611046</v>
      </c>
      <c r="E1002" s="104">
        <v>2.4749443354653877</v>
      </c>
      <c r="F1002" s="80" t="s">
        <v>2184</v>
      </c>
      <c r="G1002" s="80" t="b">
        <v>1</v>
      </c>
      <c r="H1002" s="80" t="b">
        <v>0</v>
      </c>
      <c r="I1002" s="80" t="b">
        <v>0</v>
      </c>
      <c r="J1002" s="80" t="b">
        <v>0</v>
      </c>
      <c r="K1002" s="80" t="b">
        <v>0</v>
      </c>
      <c r="L1002" s="80" t="b">
        <v>0</v>
      </c>
    </row>
    <row r="1003" spans="1:12" ht="15">
      <c r="A1003" s="81" t="s">
        <v>2866</v>
      </c>
      <c r="B1003" s="80" t="s">
        <v>2611</v>
      </c>
      <c r="C1003" s="80">
        <v>3</v>
      </c>
      <c r="D1003" s="104">
        <v>0.0013709460356611046</v>
      </c>
      <c r="E1003" s="104">
        <v>2.821731821690044</v>
      </c>
      <c r="F1003" s="80" t="s">
        <v>2184</v>
      </c>
      <c r="G1003" s="80" t="b">
        <v>0</v>
      </c>
      <c r="H1003" s="80" t="b">
        <v>0</v>
      </c>
      <c r="I1003" s="80" t="b">
        <v>0</v>
      </c>
      <c r="J1003" s="80" t="b">
        <v>0</v>
      </c>
      <c r="K1003" s="80" t="b">
        <v>0</v>
      </c>
      <c r="L1003" s="80" t="b">
        <v>0</v>
      </c>
    </row>
    <row r="1004" spans="1:12" ht="15">
      <c r="A1004" s="81" t="s">
        <v>2236</v>
      </c>
      <c r="B1004" s="80" t="s">
        <v>2562</v>
      </c>
      <c r="C1004" s="80">
        <v>3</v>
      </c>
      <c r="D1004" s="104">
        <v>0.0013709460356611046</v>
      </c>
      <c r="E1004" s="104">
        <v>2.173914339801407</v>
      </c>
      <c r="F1004" s="80" t="s">
        <v>2184</v>
      </c>
      <c r="G1004" s="80" t="b">
        <v>0</v>
      </c>
      <c r="H1004" s="80" t="b">
        <v>0</v>
      </c>
      <c r="I1004" s="80" t="b">
        <v>0</v>
      </c>
      <c r="J1004" s="80" t="b">
        <v>0</v>
      </c>
      <c r="K1004" s="80" t="b">
        <v>0</v>
      </c>
      <c r="L1004" s="80" t="b">
        <v>0</v>
      </c>
    </row>
    <row r="1005" spans="1:12" ht="15">
      <c r="A1005" s="81" t="s">
        <v>2216</v>
      </c>
      <c r="B1005" s="80" t="s">
        <v>2245</v>
      </c>
      <c r="C1005" s="80">
        <v>3</v>
      </c>
      <c r="D1005" s="104">
        <v>0.0013709460356611046</v>
      </c>
      <c r="E1005" s="104">
        <v>1.0435805713064006</v>
      </c>
      <c r="F1005" s="80" t="s">
        <v>2184</v>
      </c>
      <c r="G1005" s="80" t="b">
        <v>0</v>
      </c>
      <c r="H1005" s="80" t="b">
        <v>0</v>
      </c>
      <c r="I1005" s="80" t="b">
        <v>0</v>
      </c>
      <c r="J1005" s="80" t="b">
        <v>0</v>
      </c>
      <c r="K1005" s="80" t="b">
        <v>0</v>
      </c>
      <c r="L1005" s="80" t="b">
        <v>0</v>
      </c>
    </row>
    <row r="1006" spans="1:12" ht="15">
      <c r="A1006" s="81" t="s">
        <v>2284</v>
      </c>
      <c r="B1006" s="80" t="s">
        <v>2452</v>
      </c>
      <c r="C1006" s="80">
        <v>3</v>
      </c>
      <c r="D1006" s="104">
        <v>0.0013709460356611046</v>
      </c>
      <c r="E1006" s="104">
        <v>2.5998830720736876</v>
      </c>
      <c r="F1006" s="80" t="s">
        <v>2184</v>
      </c>
      <c r="G1006" s="80" t="b">
        <v>0</v>
      </c>
      <c r="H1006" s="80" t="b">
        <v>0</v>
      </c>
      <c r="I1006" s="80" t="b">
        <v>0</v>
      </c>
      <c r="J1006" s="80" t="b">
        <v>0</v>
      </c>
      <c r="K1006" s="80" t="b">
        <v>0</v>
      </c>
      <c r="L1006" s="80" t="b">
        <v>0</v>
      </c>
    </row>
    <row r="1007" spans="1:12" ht="15">
      <c r="A1007" s="81" t="s">
        <v>2242</v>
      </c>
      <c r="B1007" s="80" t="s">
        <v>2281</v>
      </c>
      <c r="C1007" s="80">
        <v>3</v>
      </c>
      <c r="D1007" s="104">
        <v>0.0013709460356611046</v>
      </c>
      <c r="E1007" s="104">
        <v>2.3288162997871495</v>
      </c>
      <c r="F1007" s="80" t="s">
        <v>2184</v>
      </c>
      <c r="G1007" s="80" t="b">
        <v>0</v>
      </c>
      <c r="H1007" s="80" t="b">
        <v>0</v>
      </c>
      <c r="I1007" s="80" t="b">
        <v>0</v>
      </c>
      <c r="J1007" s="80" t="b">
        <v>0</v>
      </c>
      <c r="K1007" s="80" t="b">
        <v>0</v>
      </c>
      <c r="L1007" s="80" t="b">
        <v>0</v>
      </c>
    </row>
    <row r="1008" spans="1:12" ht="15">
      <c r="A1008" s="81" t="s">
        <v>2611</v>
      </c>
      <c r="B1008" s="80" t="s">
        <v>2373</v>
      </c>
      <c r="C1008" s="80">
        <v>3</v>
      </c>
      <c r="D1008" s="104">
        <v>0.0013709460356611046</v>
      </c>
      <c r="E1008" s="104">
        <v>2.6967930850817443</v>
      </c>
      <c r="F1008" s="80" t="s">
        <v>2184</v>
      </c>
      <c r="G1008" s="80" t="b">
        <v>0</v>
      </c>
      <c r="H1008" s="80" t="b">
        <v>0</v>
      </c>
      <c r="I1008" s="80" t="b">
        <v>0</v>
      </c>
      <c r="J1008" s="80" t="b">
        <v>1</v>
      </c>
      <c r="K1008" s="80" t="b">
        <v>0</v>
      </c>
      <c r="L1008" s="80" t="b">
        <v>0</v>
      </c>
    </row>
    <row r="1009" spans="1:12" ht="15">
      <c r="A1009" s="81" t="s">
        <v>2323</v>
      </c>
      <c r="B1009" s="80" t="s">
        <v>2501</v>
      </c>
      <c r="C1009" s="80">
        <v>3</v>
      </c>
      <c r="D1009" s="104">
        <v>0.0013709460356611046</v>
      </c>
      <c r="E1009" s="104">
        <v>2.520701826026063</v>
      </c>
      <c r="F1009" s="80" t="s">
        <v>2184</v>
      </c>
      <c r="G1009" s="80" t="b">
        <v>0</v>
      </c>
      <c r="H1009" s="80" t="b">
        <v>0</v>
      </c>
      <c r="I1009" s="80" t="b">
        <v>0</v>
      </c>
      <c r="J1009" s="80" t="b">
        <v>0</v>
      </c>
      <c r="K1009" s="80" t="b">
        <v>0</v>
      </c>
      <c r="L1009" s="80" t="b">
        <v>0</v>
      </c>
    </row>
    <row r="1010" spans="1:12" ht="15">
      <c r="A1010" s="81" t="s">
        <v>2245</v>
      </c>
      <c r="B1010" s="80" t="s">
        <v>2317</v>
      </c>
      <c r="C1010" s="80">
        <v>3</v>
      </c>
      <c r="D1010" s="104">
        <v>0.0013709460356611046</v>
      </c>
      <c r="E1010" s="104">
        <v>1.9978230807457256</v>
      </c>
      <c r="F1010" s="80" t="s">
        <v>2184</v>
      </c>
      <c r="G1010" s="80" t="b">
        <v>0</v>
      </c>
      <c r="H1010" s="80" t="b">
        <v>0</v>
      </c>
      <c r="I1010" s="80" t="b">
        <v>0</v>
      </c>
      <c r="J1010" s="80" t="b">
        <v>0</v>
      </c>
      <c r="K1010" s="80" t="b">
        <v>0</v>
      </c>
      <c r="L1010" s="80" t="b">
        <v>0</v>
      </c>
    </row>
    <row r="1011" spans="1:12" ht="15">
      <c r="A1011" s="81" t="s">
        <v>2283</v>
      </c>
      <c r="B1011" s="80" t="s">
        <v>2612</v>
      </c>
      <c r="C1011" s="80">
        <v>3</v>
      </c>
      <c r="D1011" s="104">
        <v>0.0013709460356611046</v>
      </c>
      <c r="E1011" s="104">
        <v>2.821731821690044</v>
      </c>
      <c r="F1011" s="80" t="s">
        <v>2184</v>
      </c>
      <c r="G1011" s="80" t="b">
        <v>0</v>
      </c>
      <c r="H1011" s="80" t="b">
        <v>0</v>
      </c>
      <c r="I1011" s="80" t="b">
        <v>0</v>
      </c>
      <c r="J1011" s="80" t="b">
        <v>0</v>
      </c>
      <c r="K1011" s="80" t="b">
        <v>0</v>
      </c>
      <c r="L1011" s="80" t="b">
        <v>0</v>
      </c>
    </row>
    <row r="1012" spans="1:12" ht="15">
      <c r="A1012" s="81" t="s">
        <v>2450</v>
      </c>
      <c r="B1012" s="80" t="s">
        <v>2311</v>
      </c>
      <c r="C1012" s="80">
        <v>3</v>
      </c>
      <c r="D1012" s="104">
        <v>0.0013709460356611046</v>
      </c>
      <c r="E1012" s="104">
        <v>2.5998830720736876</v>
      </c>
      <c r="F1012" s="80" t="s">
        <v>2184</v>
      </c>
      <c r="G1012" s="80" t="b">
        <v>0</v>
      </c>
      <c r="H1012" s="80" t="b">
        <v>0</v>
      </c>
      <c r="I1012" s="80" t="b">
        <v>0</v>
      </c>
      <c r="J1012" s="80" t="b">
        <v>0</v>
      </c>
      <c r="K1012" s="80" t="b">
        <v>0</v>
      </c>
      <c r="L1012" s="80" t="b">
        <v>0</v>
      </c>
    </row>
    <row r="1013" spans="1:12" ht="15">
      <c r="A1013" s="81" t="s">
        <v>3219</v>
      </c>
      <c r="B1013" s="80" t="s">
        <v>2371</v>
      </c>
      <c r="C1013" s="80">
        <v>2</v>
      </c>
      <c r="D1013" s="104">
        <v>0.0010887444297846714</v>
      </c>
      <c r="E1013" s="104">
        <v>2.5998830720736876</v>
      </c>
      <c r="F1013" s="80" t="s">
        <v>2184</v>
      </c>
      <c r="G1013" s="80" t="b">
        <v>0</v>
      </c>
      <c r="H1013" s="80" t="b">
        <v>0</v>
      </c>
      <c r="I1013" s="80" t="b">
        <v>0</v>
      </c>
      <c r="J1013" s="80" t="b">
        <v>0</v>
      </c>
      <c r="K1013" s="80" t="b">
        <v>0</v>
      </c>
      <c r="L1013" s="80" t="b">
        <v>0</v>
      </c>
    </row>
    <row r="1014" spans="1:12" ht="15">
      <c r="A1014" s="81" t="s">
        <v>3277</v>
      </c>
      <c r="B1014" s="80" t="s">
        <v>3012</v>
      </c>
      <c r="C1014" s="80">
        <v>2</v>
      </c>
      <c r="D1014" s="104">
        <v>0.0010887444297846714</v>
      </c>
      <c r="E1014" s="104">
        <v>2.9978230807457256</v>
      </c>
      <c r="F1014" s="80" t="s">
        <v>2184</v>
      </c>
      <c r="G1014" s="80" t="b">
        <v>0</v>
      </c>
      <c r="H1014" s="80" t="b">
        <v>0</v>
      </c>
      <c r="I1014" s="80" t="b">
        <v>0</v>
      </c>
      <c r="J1014" s="80" t="b">
        <v>0</v>
      </c>
      <c r="K1014" s="80" t="b">
        <v>0</v>
      </c>
      <c r="L1014" s="80" t="b">
        <v>0</v>
      </c>
    </row>
    <row r="1015" spans="1:12" ht="15">
      <c r="A1015" s="81" t="s">
        <v>2658</v>
      </c>
      <c r="B1015" s="80" t="s">
        <v>2372</v>
      </c>
      <c r="C1015" s="80">
        <v>2</v>
      </c>
      <c r="D1015" s="104">
        <v>0.0010887444297846714</v>
      </c>
      <c r="E1015" s="104">
        <v>2.821731821690044</v>
      </c>
      <c r="F1015" s="80" t="s">
        <v>2184</v>
      </c>
      <c r="G1015" s="80" t="b">
        <v>0</v>
      </c>
      <c r="H1015" s="80" t="b">
        <v>0</v>
      </c>
      <c r="I1015" s="80" t="b">
        <v>0</v>
      </c>
      <c r="J1015" s="80" t="b">
        <v>0</v>
      </c>
      <c r="K1015" s="80" t="b">
        <v>0</v>
      </c>
      <c r="L1015" s="80" t="b">
        <v>0</v>
      </c>
    </row>
    <row r="1016" spans="1:12" ht="15">
      <c r="A1016" s="81" t="s">
        <v>3089</v>
      </c>
      <c r="B1016" s="80" t="s">
        <v>2915</v>
      </c>
      <c r="C1016" s="80">
        <v>2</v>
      </c>
      <c r="D1016" s="104">
        <v>0.0010887444297846714</v>
      </c>
      <c r="E1016" s="104">
        <v>2.9978230807457256</v>
      </c>
      <c r="F1016" s="80" t="s">
        <v>2184</v>
      </c>
      <c r="G1016" s="80" t="b">
        <v>0</v>
      </c>
      <c r="H1016" s="80" t="b">
        <v>0</v>
      </c>
      <c r="I1016" s="80" t="b">
        <v>0</v>
      </c>
      <c r="J1016" s="80" t="b">
        <v>0</v>
      </c>
      <c r="K1016" s="80" t="b">
        <v>0</v>
      </c>
      <c r="L1016" s="80" t="b">
        <v>0</v>
      </c>
    </row>
    <row r="1017" spans="1:12" ht="15">
      <c r="A1017" s="81" t="s">
        <v>2797</v>
      </c>
      <c r="B1017" s="80" t="s">
        <v>2269</v>
      </c>
      <c r="C1017" s="80">
        <v>2</v>
      </c>
      <c r="D1017" s="104">
        <v>0.0013875335073667869</v>
      </c>
      <c r="E1017" s="104">
        <v>2.520701826026063</v>
      </c>
      <c r="F1017" s="80" t="s">
        <v>2184</v>
      </c>
      <c r="G1017" s="80" t="b">
        <v>0</v>
      </c>
      <c r="H1017" s="80" t="b">
        <v>0</v>
      </c>
      <c r="I1017" s="80" t="b">
        <v>0</v>
      </c>
      <c r="J1017" s="80" t="b">
        <v>0</v>
      </c>
      <c r="K1017" s="80" t="b">
        <v>0</v>
      </c>
      <c r="L1017" s="80" t="b">
        <v>0</v>
      </c>
    </row>
    <row r="1018" spans="1:12" ht="15">
      <c r="A1018" s="81" t="s">
        <v>2590</v>
      </c>
      <c r="B1018" s="80" t="s">
        <v>2994</v>
      </c>
      <c r="C1018" s="80">
        <v>2</v>
      </c>
      <c r="D1018" s="104">
        <v>0.0010887444297846714</v>
      </c>
      <c r="E1018" s="104">
        <v>2.9978230807457256</v>
      </c>
      <c r="F1018" s="80" t="s">
        <v>2184</v>
      </c>
      <c r="G1018" s="80" t="b">
        <v>1</v>
      </c>
      <c r="H1018" s="80" t="b">
        <v>0</v>
      </c>
      <c r="I1018" s="80" t="b">
        <v>0</v>
      </c>
      <c r="J1018" s="80" t="b">
        <v>0</v>
      </c>
      <c r="K1018" s="80" t="b">
        <v>1</v>
      </c>
      <c r="L1018" s="80" t="b">
        <v>0</v>
      </c>
    </row>
    <row r="1019" spans="1:12" ht="15">
      <c r="A1019" s="81" t="s">
        <v>2440</v>
      </c>
      <c r="B1019" s="80" t="s">
        <v>2594</v>
      </c>
      <c r="C1019" s="80">
        <v>2</v>
      </c>
      <c r="D1019" s="104">
        <v>0.0013875335073667869</v>
      </c>
      <c r="E1019" s="104">
        <v>2.395763089417763</v>
      </c>
      <c r="F1019" s="80" t="s">
        <v>2184</v>
      </c>
      <c r="G1019" s="80" t="b">
        <v>0</v>
      </c>
      <c r="H1019" s="80" t="b">
        <v>0</v>
      </c>
      <c r="I1019" s="80" t="b">
        <v>0</v>
      </c>
      <c r="J1019" s="80" t="b">
        <v>0</v>
      </c>
      <c r="K1019" s="80" t="b">
        <v>0</v>
      </c>
      <c r="L1019" s="80" t="b">
        <v>0</v>
      </c>
    </row>
    <row r="1020" spans="1:12" ht="15">
      <c r="A1020" s="81" t="s">
        <v>2719</v>
      </c>
      <c r="B1020" s="80" t="s">
        <v>2844</v>
      </c>
      <c r="C1020" s="80">
        <v>2</v>
      </c>
      <c r="D1020" s="104">
        <v>0.0010887444297846714</v>
      </c>
      <c r="E1020" s="104">
        <v>2.9978230807457256</v>
      </c>
      <c r="F1020" s="80" t="s">
        <v>2184</v>
      </c>
      <c r="G1020" s="80" t="b">
        <v>0</v>
      </c>
      <c r="H1020" s="80" t="b">
        <v>0</v>
      </c>
      <c r="I1020" s="80" t="b">
        <v>0</v>
      </c>
      <c r="J1020" s="80" t="b">
        <v>1</v>
      </c>
      <c r="K1020" s="80" t="b">
        <v>0</v>
      </c>
      <c r="L1020" s="80" t="b">
        <v>0</v>
      </c>
    </row>
    <row r="1021" spans="1:12" ht="15">
      <c r="A1021" s="81" t="s">
        <v>2989</v>
      </c>
      <c r="B1021" s="80" t="s">
        <v>2246</v>
      </c>
      <c r="C1021" s="80">
        <v>2</v>
      </c>
      <c r="D1021" s="104">
        <v>0.0010887444297846714</v>
      </c>
      <c r="E1021" s="104">
        <v>2.1527250407314686</v>
      </c>
      <c r="F1021" s="80" t="s">
        <v>2184</v>
      </c>
      <c r="G1021" s="80" t="b">
        <v>1</v>
      </c>
      <c r="H1021" s="80" t="b">
        <v>0</v>
      </c>
      <c r="I1021" s="80" t="b">
        <v>0</v>
      </c>
      <c r="J1021" s="80" t="b">
        <v>0</v>
      </c>
      <c r="K1021" s="80" t="b">
        <v>0</v>
      </c>
      <c r="L1021" s="80" t="b">
        <v>0</v>
      </c>
    </row>
    <row r="1022" spans="1:12" ht="15">
      <c r="A1022" s="81" t="s">
        <v>2246</v>
      </c>
      <c r="B1022" s="80" t="s">
        <v>2221</v>
      </c>
      <c r="C1022" s="80">
        <v>2</v>
      </c>
      <c r="D1022" s="104">
        <v>0.0010887444297846714</v>
      </c>
      <c r="E1022" s="104">
        <v>1.1849097241028699</v>
      </c>
      <c r="F1022" s="80" t="s">
        <v>2184</v>
      </c>
      <c r="G1022" s="80" t="b">
        <v>0</v>
      </c>
      <c r="H1022" s="80" t="b">
        <v>0</v>
      </c>
      <c r="I1022" s="80" t="b">
        <v>0</v>
      </c>
      <c r="J1022" s="80" t="b">
        <v>0</v>
      </c>
      <c r="K1022" s="80" t="b">
        <v>0</v>
      </c>
      <c r="L1022" s="80" t="b">
        <v>0</v>
      </c>
    </row>
    <row r="1023" spans="1:12" ht="15">
      <c r="A1023" s="81" t="s">
        <v>2706</v>
      </c>
      <c r="B1023" s="80" t="s">
        <v>2868</v>
      </c>
      <c r="C1023" s="80">
        <v>2</v>
      </c>
      <c r="D1023" s="104">
        <v>0.0010887444297846714</v>
      </c>
      <c r="E1023" s="104">
        <v>2.9978230807457256</v>
      </c>
      <c r="F1023" s="80" t="s">
        <v>2184</v>
      </c>
      <c r="G1023" s="80" t="b">
        <v>0</v>
      </c>
      <c r="H1023" s="80" t="b">
        <v>0</v>
      </c>
      <c r="I1023" s="80" t="b">
        <v>0</v>
      </c>
      <c r="J1023" s="80" t="b">
        <v>0</v>
      </c>
      <c r="K1023" s="80" t="b">
        <v>0</v>
      </c>
      <c r="L1023" s="80" t="b">
        <v>0</v>
      </c>
    </row>
    <row r="1024" spans="1:12" ht="15">
      <c r="A1024" s="81" t="s">
        <v>2221</v>
      </c>
      <c r="B1024" s="80" t="s">
        <v>2470</v>
      </c>
      <c r="C1024" s="80">
        <v>2</v>
      </c>
      <c r="D1024" s="104">
        <v>0.0010887444297846714</v>
      </c>
      <c r="E1024" s="104">
        <v>1.6967930850817443</v>
      </c>
      <c r="F1024" s="80" t="s">
        <v>2184</v>
      </c>
      <c r="G1024" s="80" t="b">
        <v>0</v>
      </c>
      <c r="H1024" s="80" t="b">
        <v>0</v>
      </c>
      <c r="I1024" s="80" t="b">
        <v>0</v>
      </c>
      <c r="J1024" s="80" t="b">
        <v>0</v>
      </c>
      <c r="K1024" s="80" t="b">
        <v>0</v>
      </c>
      <c r="L1024" s="80" t="b">
        <v>0</v>
      </c>
    </row>
    <row r="1025" spans="1:12" ht="15">
      <c r="A1025" s="81" t="s">
        <v>2217</v>
      </c>
      <c r="B1025" s="80" t="s">
        <v>2691</v>
      </c>
      <c r="C1025" s="80">
        <v>2</v>
      </c>
      <c r="D1025" s="104">
        <v>0.0010887444297846714</v>
      </c>
      <c r="E1025" s="104">
        <v>2.094733093753782</v>
      </c>
      <c r="F1025" s="80" t="s">
        <v>2184</v>
      </c>
      <c r="G1025" s="80" t="b">
        <v>0</v>
      </c>
      <c r="H1025" s="80" t="b">
        <v>0</v>
      </c>
      <c r="I1025" s="80" t="b">
        <v>0</v>
      </c>
      <c r="J1025" s="80" t="b">
        <v>0</v>
      </c>
      <c r="K1025" s="80" t="b">
        <v>0</v>
      </c>
      <c r="L1025" s="80" t="b">
        <v>0</v>
      </c>
    </row>
    <row r="1026" spans="1:12" ht="15">
      <c r="A1026" s="81" t="s">
        <v>2216</v>
      </c>
      <c r="B1026" s="80" t="s">
        <v>2814</v>
      </c>
      <c r="C1026" s="80">
        <v>2</v>
      </c>
      <c r="D1026" s="104">
        <v>0.0010887444297846714</v>
      </c>
      <c r="E1026" s="104">
        <v>1.8674893122507195</v>
      </c>
      <c r="F1026" s="80" t="s">
        <v>2184</v>
      </c>
      <c r="G1026" s="80" t="b">
        <v>0</v>
      </c>
      <c r="H1026" s="80" t="b">
        <v>0</v>
      </c>
      <c r="I1026" s="80" t="b">
        <v>0</v>
      </c>
      <c r="J1026" s="80" t="b">
        <v>0</v>
      </c>
      <c r="K1026" s="80" t="b">
        <v>0</v>
      </c>
      <c r="L1026" s="80" t="b">
        <v>0</v>
      </c>
    </row>
    <row r="1027" spans="1:12" ht="15">
      <c r="A1027" s="81" t="s">
        <v>2447</v>
      </c>
      <c r="B1027" s="80" t="s">
        <v>2834</v>
      </c>
      <c r="C1027" s="80">
        <v>2</v>
      </c>
      <c r="D1027" s="104">
        <v>0.0010887444297846714</v>
      </c>
      <c r="E1027" s="104">
        <v>2.9978230807457256</v>
      </c>
      <c r="F1027" s="80" t="s">
        <v>2184</v>
      </c>
      <c r="G1027" s="80" t="b">
        <v>0</v>
      </c>
      <c r="H1027" s="80" t="b">
        <v>0</v>
      </c>
      <c r="I1027" s="80" t="b">
        <v>0</v>
      </c>
      <c r="J1027" s="80" t="b">
        <v>0</v>
      </c>
      <c r="K1027" s="80" t="b">
        <v>0</v>
      </c>
      <c r="L1027" s="80" t="b">
        <v>0</v>
      </c>
    </row>
    <row r="1028" spans="1:12" ht="15">
      <c r="A1028" s="81" t="s">
        <v>2274</v>
      </c>
      <c r="B1028" s="80" t="s">
        <v>2300</v>
      </c>
      <c r="C1028" s="80">
        <v>2</v>
      </c>
      <c r="D1028" s="104">
        <v>0.0010887444297846714</v>
      </c>
      <c r="E1028" s="104">
        <v>2.520701826026063</v>
      </c>
      <c r="F1028" s="80" t="s">
        <v>2184</v>
      </c>
      <c r="G1028" s="80" t="b">
        <v>0</v>
      </c>
      <c r="H1028" s="80" t="b">
        <v>0</v>
      </c>
      <c r="I1028" s="80" t="b">
        <v>0</v>
      </c>
      <c r="J1028" s="80" t="b">
        <v>0</v>
      </c>
      <c r="K1028" s="80" t="b">
        <v>0</v>
      </c>
      <c r="L1028" s="80" t="b">
        <v>0</v>
      </c>
    </row>
    <row r="1029" spans="1:12" ht="15">
      <c r="A1029" s="81" t="s">
        <v>2215</v>
      </c>
      <c r="B1029" s="80" t="s">
        <v>2338</v>
      </c>
      <c r="C1029" s="80">
        <v>2</v>
      </c>
      <c r="D1029" s="104">
        <v>0.0013875335073667869</v>
      </c>
      <c r="E1029" s="104">
        <v>0.9564303955875004</v>
      </c>
      <c r="F1029" s="80" t="s">
        <v>2184</v>
      </c>
      <c r="G1029" s="80" t="b">
        <v>0</v>
      </c>
      <c r="H1029" s="80" t="b">
        <v>0</v>
      </c>
      <c r="I1029" s="80" t="b">
        <v>0</v>
      </c>
      <c r="J1029" s="80" t="b">
        <v>0</v>
      </c>
      <c r="K1029" s="80" t="b">
        <v>0</v>
      </c>
      <c r="L1029" s="80" t="b">
        <v>0</v>
      </c>
    </row>
    <row r="1030" spans="1:12" ht="15">
      <c r="A1030" s="81" t="s">
        <v>2314</v>
      </c>
      <c r="B1030" s="80" t="s">
        <v>2706</v>
      </c>
      <c r="C1030" s="80">
        <v>2</v>
      </c>
      <c r="D1030" s="104">
        <v>0.0010887444297846714</v>
      </c>
      <c r="E1030" s="104">
        <v>2.821731821690044</v>
      </c>
      <c r="F1030" s="80" t="s">
        <v>2184</v>
      </c>
      <c r="G1030" s="80" t="b">
        <v>0</v>
      </c>
      <c r="H1030" s="80" t="b">
        <v>0</v>
      </c>
      <c r="I1030" s="80" t="b">
        <v>0</v>
      </c>
      <c r="J1030" s="80" t="b">
        <v>0</v>
      </c>
      <c r="K1030" s="80" t="b">
        <v>0</v>
      </c>
      <c r="L1030" s="80" t="b">
        <v>0</v>
      </c>
    </row>
    <row r="1031" spans="1:12" ht="15">
      <c r="A1031" s="81" t="s">
        <v>2382</v>
      </c>
      <c r="B1031" s="80" t="s">
        <v>2217</v>
      </c>
      <c r="C1031" s="80">
        <v>2</v>
      </c>
      <c r="D1031" s="104">
        <v>0.0010887444297846714</v>
      </c>
      <c r="E1031" s="104">
        <v>2.094733093753782</v>
      </c>
      <c r="F1031" s="80" t="s">
        <v>2184</v>
      </c>
      <c r="G1031" s="80" t="b">
        <v>0</v>
      </c>
      <c r="H1031" s="80" t="b">
        <v>0</v>
      </c>
      <c r="I1031" s="80" t="b">
        <v>0</v>
      </c>
      <c r="J1031" s="80" t="b">
        <v>0</v>
      </c>
      <c r="K1031" s="80" t="b">
        <v>0</v>
      </c>
      <c r="L1031" s="80" t="b">
        <v>0</v>
      </c>
    </row>
    <row r="1032" spans="1:12" ht="15">
      <c r="A1032" s="81" t="s">
        <v>2217</v>
      </c>
      <c r="B1032" s="80" t="s">
        <v>2447</v>
      </c>
      <c r="C1032" s="80">
        <v>2</v>
      </c>
      <c r="D1032" s="104">
        <v>0.0010887444297846714</v>
      </c>
      <c r="E1032" s="104">
        <v>2.094733093753782</v>
      </c>
      <c r="F1032" s="80" t="s">
        <v>2184</v>
      </c>
      <c r="G1032" s="80" t="b">
        <v>0</v>
      </c>
      <c r="H1032" s="80" t="b">
        <v>0</v>
      </c>
      <c r="I1032" s="80" t="b">
        <v>0</v>
      </c>
      <c r="J1032" s="80" t="b">
        <v>0</v>
      </c>
      <c r="K1032" s="80" t="b">
        <v>0</v>
      </c>
      <c r="L1032" s="80" t="b">
        <v>0</v>
      </c>
    </row>
    <row r="1033" spans="1:12" ht="15">
      <c r="A1033" s="81" t="s">
        <v>2470</v>
      </c>
      <c r="B1033" s="80" t="s">
        <v>2254</v>
      </c>
      <c r="C1033" s="80">
        <v>2</v>
      </c>
      <c r="D1033" s="104">
        <v>0.0010887444297846714</v>
      </c>
      <c r="E1033" s="104">
        <v>2.094733093753782</v>
      </c>
      <c r="F1033" s="80" t="s">
        <v>2184</v>
      </c>
      <c r="G1033" s="80" t="b">
        <v>0</v>
      </c>
      <c r="H1033" s="80" t="b">
        <v>0</v>
      </c>
      <c r="I1033" s="80" t="b">
        <v>0</v>
      </c>
      <c r="J1033" s="80" t="b">
        <v>0</v>
      </c>
      <c r="K1033" s="80" t="b">
        <v>0</v>
      </c>
      <c r="L1033" s="80" t="b">
        <v>0</v>
      </c>
    </row>
    <row r="1034" spans="1:12" ht="15">
      <c r="A1034" s="81" t="s">
        <v>2498</v>
      </c>
      <c r="B1034" s="80" t="s">
        <v>2402</v>
      </c>
      <c r="C1034" s="80">
        <v>2</v>
      </c>
      <c r="D1034" s="104">
        <v>0.0013875335073667869</v>
      </c>
      <c r="E1034" s="104">
        <v>2.821731821690044</v>
      </c>
      <c r="F1034" s="80" t="s">
        <v>2184</v>
      </c>
      <c r="G1034" s="80" t="b">
        <v>0</v>
      </c>
      <c r="H1034" s="80" t="b">
        <v>0</v>
      </c>
      <c r="I1034" s="80" t="b">
        <v>0</v>
      </c>
      <c r="J1034" s="80" t="b">
        <v>0</v>
      </c>
      <c r="K1034" s="80" t="b">
        <v>0</v>
      </c>
      <c r="L1034" s="80" t="b">
        <v>0</v>
      </c>
    </row>
    <row r="1035" spans="1:12" ht="15">
      <c r="A1035" s="81" t="s">
        <v>2470</v>
      </c>
      <c r="B1035" s="80" t="s">
        <v>2314</v>
      </c>
      <c r="C1035" s="80">
        <v>2</v>
      </c>
      <c r="D1035" s="104">
        <v>0.0010887444297846714</v>
      </c>
      <c r="E1035" s="104">
        <v>2.520701826026063</v>
      </c>
      <c r="F1035" s="80" t="s">
        <v>2184</v>
      </c>
      <c r="G1035" s="80" t="b">
        <v>0</v>
      </c>
      <c r="H1035" s="80" t="b">
        <v>0</v>
      </c>
      <c r="I1035" s="80" t="b">
        <v>0</v>
      </c>
      <c r="J1035" s="80" t="b">
        <v>0</v>
      </c>
      <c r="K1035" s="80" t="b">
        <v>0</v>
      </c>
      <c r="L1035" s="80" t="b">
        <v>0</v>
      </c>
    </row>
    <row r="1036" spans="1:12" ht="15">
      <c r="A1036" s="81" t="s">
        <v>2375</v>
      </c>
      <c r="B1036" s="80" t="s">
        <v>3272</v>
      </c>
      <c r="C1036" s="80">
        <v>2</v>
      </c>
      <c r="D1036" s="104">
        <v>0.0013875335073667869</v>
      </c>
      <c r="E1036" s="104">
        <v>2.821731821690044</v>
      </c>
      <c r="F1036" s="80" t="s">
        <v>2184</v>
      </c>
      <c r="G1036" s="80" t="b">
        <v>0</v>
      </c>
      <c r="H1036" s="80" t="b">
        <v>0</v>
      </c>
      <c r="I1036" s="80" t="b">
        <v>0</v>
      </c>
      <c r="J1036" s="80" t="b">
        <v>0</v>
      </c>
      <c r="K1036" s="80" t="b">
        <v>0</v>
      </c>
      <c r="L1036" s="80" t="b">
        <v>0</v>
      </c>
    </row>
    <row r="1037" spans="1:12" ht="15">
      <c r="A1037" s="81" t="s">
        <v>2530</v>
      </c>
      <c r="B1037" s="80" t="s">
        <v>2478</v>
      </c>
      <c r="C1037" s="80">
        <v>2</v>
      </c>
      <c r="D1037" s="104">
        <v>0.0010887444297846714</v>
      </c>
      <c r="E1037" s="104">
        <v>2.5998830720736876</v>
      </c>
      <c r="F1037" s="80" t="s">
        <v>2184</v>
      </c>
      <c r="G1037" s="80" t="b">
        <v>0</v>
      </c>
      <c r="H1037" s="80" t="b">
        <v>0</v>
      </c>
      <c r="I1037" s="80" t="b">
        <v>0</v>
      </c>
      <c r="J1037" s="80" t="b">
        <v>0</v>
      </c>
      <c r="K1037" s="80" t="b">
        <v>0</v>
      </c>
      <c r="L1037" s="80" t="b">
        <v>0</v>
      </c>
    </row>
    <row r="1038" spans="1:12" ht="15">
      <c r="A1038" s="81" t="s">
        <v>2805</v>
      </c>
      <c r="B1038" s="80" t="s">
        <v>2525</v>
      </c>
      <c r="C1038" s="80">
        <v>2</v>
      </c>
      <c r="D1038" s="104">
        <v>0.0010887444297846714</v>
      </c>
      <c r="E1038" s="104">
        <v>2.9978230807457256</v>
      </c>
      <c r="F1038" s="80" t="s">
        <v>2184</v>
      </c>
      <c r="G1038" s="80" t="b">
        <v>0</v>
      </c>
      <c r="H1038" s="80" t="b">
        <v>0</v>
      </c>
      <c r="I1038" s="80" t="b">
        <v>0</v>
      </c>
      <c r="J1038" s="80" t="b">
        <v>0</v>
      </c>
      <c r="K1038" s="80" t="b">
        <v>0</v>
      </c>
      <c r="L1038" s="80" t="b">
        <v>0</v>
      </c>
    </row>
    <row r="1039" spans="1:12" ht="15">
      <c r="A1039" s="81" t="s">
        <v>2787</v>
      </c>
      <c r="B1039" s="80" t="s">
        <v>3219</v>
      </c>
      <c r="C1039" s="80">
        <v>2</v>
      </c>
      <c r="D1039" s="104">
        <v>0.0010887444297846714</v>
      </c>
      <c r="E1039" s="104">
        <v>2.821731821690044</v>
      </c>
      <c r="F1039" s="80" t="s">
        <v>2184</v>
      </c>
      <c r="G1039" s="80" t="b">
        <v>0</v>
      </c>
      <c r="H1039" s="80" t="b">
        <v>0</v>
      </c>
      <c r="I1039" s="80" t="b">
        <v>0</v>
      </c>
      <c r="J1039" s="80" t="b">
        <v>0</v>
      </c>
      <c r="K1039" s="80" t="b">
        <v>0</v>
      </c>
      <c r="L1039" s="80" t="b">
        <v>0</v>
      </c>
    </row>
    <row r="1040" spans="1:12" ht="15">
      <c r="A1040" s="81" t="s">
        <v>2222</v>
      </c>
      <c r="B1040" s="80" t="s">
        <v>2224</v>
      </c>
      <c r="C1040" s="80">
        <v>2</v>
      </c>
      <c r="D1040" s="104">
        <v>0.0010887444297846714</v>
      </c>
      <c r="E1040" s="104">
        <v>1.04237587016803</v>
      </c>
      <c r="F1040" s="80" t="s">
        <v>2184</v>
      </c>
      <c r="G1040" s="80" t="b">
        <v>0</v>
      </c>
      <c r="H1040" s="80" t="b">
        <v>0</v>
      </c>
      <c r="I1040" s="80" t="b">
        <v>0</v>
      </c>
      <c r="J1040" s="80" t="b">
        <v>0</v>
      </c>
      <c r="K1040" s="80" t="b">
        <v>0</v>
      </c>
      <c r="L1040" s="80" t="b">
        <v>0</v>
      </c>
    </row>
    <row r="1041" spans="1:12" ht="15">
      <c r="A1041" s="81" t="s">
        <v>2216</v>
      </c>
      <c r="B1041" s="80" t="s">
        <v>2249</v>
      </c>
      <c r="C1041" s="80">
        <v>2</v>
      </c>
      <c r="D1041" s="104">
        <v>0.0010887444297846714</v>
      </c>
      <c r="E1041" s="104">
        <v>1.2142767984753757</v>
      </c>
      <c r="F1041" s="80" t="s">
        <v>2184</v>
      </c>
      <c r="G1041" s="80" t="b">
        <v>0</v>
      </c>
      <c r="H1041" s="80" t="b">
        <v>0</v>
      </c>
      <c r="I1041" s="80" t="b">
        <v>0</v>
      </c>
      <c r="J1041" s="80" t="b">
        <v>0</v>
      </c>
      <c r="K1041" s="80" t="b">
        <v>0</v>
      </c>
      <c r="L1041" s="80" t="b">
        <v>0</v>
      </c>
    </row>
    <row r="1042" spans="1:12" ht="15">
      <c r="A1042" s="81" t="s">
        <v>2399</v>
      </c>
      <c r="B1042" s="80" t="s">
        <v>2358</v>
      </c>
      <c r="C1042" s="80">
        <v>2</v>
      </c>
      <c r="D1042" s="104">
        <v>0.0010887444297846714</v>
      </c>
      <c r="E1042" s="104">
        <v>2.1527250407314686</v>
      </c>
      <c r="F1042" s="80" t="s">
        <v>2184</v>
      </c>
      <c r="G1042" s="80" t="b">
        <v>0</v>
      </c>
      <c r="H1042" s="80" t="b">
        <v>0</v>
      </c>
      <c r="I1042" s="80" t="b">
        <v>0</v>
      </c>
      <c r="J1042" s="80" t="b">
        <v>0</v>
      </c>
      <c r="K1042" s="80" t="b">
        <v>0</v>
      </c>
      <c r="L1042" s="80" t="b">
        <v>0</v>
      </c>
    </row>
    <row r="1043" spans="1:12" ht="15">
      <c r="A1043" s="81" t="s">
        <v>2322</v>
      </c>
      <c r="B1043" s="80" t="s">
        <v>2805</v>
      </c>
      <c r="C1043" s="80">
        <v>2</v>
      </c>
      <c r="D1043" s="104">
        <v>0.0010887444297846714</v>
      </c>
      <c r="E1043" s="104">
        <v>2.45375503639545</v>
      </c>
      <c r="F1043" s="80" t="s">
        <v>2184</v>
      </c>
      <c r="G1043" s="80" t="b">
        <v>0</v>
      </c>
      <c r="H1043" s="80" t="b">
        <v>0</v>
      </c>
      <c r="I1043" s="80" t="b">
        <v>0</v>
      </c>
      <c r="J1043" s="80" t="b">
        <v>0</v>
      </c>
      <c r="K1043" s="80" t="b">
        <v>0</v>
      </c>
      <c r="L1043" s="80" t="b">
        <v>0</v>
      </c>
    </row>
    <row r="1044" spans="1:12" ht="15">
      <c r="A1044" s="81" t="s">
        <v>3203</v>
      </c>
      <c r="B1044" s="80" t="s">
        <v>3295</v>
      </c>
      <c r="C1044" s="80">
        <v>2</v>
      </c>
      <c r="D1044" s="104">
        <v>0.0013875335073667869</v>
      </c>
      <c r="E1044" s="104">
        <v>2.9978230807457256</v>
      </c>
      <c r="F1044" s="80" t="s">
        <v>2184</v>
      </c>
      <c r="G1044" s="80" t="b">
        <v>0</v>
      </c>
      <c r="H1044" s="80" t="b">
        <v>0</v>
      </c>
      <c r="I1044" s="80" t="b">
        <v>0</v>
      </c>
      <c r="J1044" s="80" t="b">
        <v>0</v>
      </c>
      <c r="K1044" s="80" t="b">
        <v>0</v>
      </c>
      <c r="L1044" s="80" t="b">
        <v>0</v>
      </c>
    </row>
    <row r="1045" spans="1:12" ht="15">
      <c r="A1045" s="81" t="s">
        <v>2214</v>
      </c>
      <c r="B1045" s="80" t="s">
        <v>2290</v>
      </c>
      <c r="C1045" s="80">
        <v>2</v>
      </c>
      <c r="D1045" s="104">
        <v>0.0010887444297846714</v>
      </c>
      <c r="E1045" s="104">
        <v>1.5207018260260632</v>
      </c>
      <c r="F1045" s="80" t="s">
        <v>2184</v>
      </c>
      <c r="G1045" s="80" t="b">
        <v>0</v>
      </c>
      <c r="H1045" s="80" t="b">
        <v>0</v>
      </c>
      <c r="I1045" s="80" t="b">
        <v>0</v>
      </c>
      <c r="J1045" s="80" t="b">
        <v>0</v>
      </c>
      <c r="K1045" s="80" t="b">
        <v>0</v>
      </c>
      <c r="L1045" s="80" t="b">
        <v>0</v>
      </c>
    </row>
    <row r="1046" spans="1:12" ht="15">
      <c r="A1046" s="81" t="s">
        <v>2224</v>
      </c>
      <c r="B1046" s="80" t="s">
        <v>2420</v>
      </c>
      <c r="C1046" s="80">
        <v>2</v>
      </c>
      <c r="D1046" s="104">
        <v>0.0010887444297846714</v>
      </c>
      <c r="E1046" s="104">
        <v>1.62215946678484</v>
      </c>
      <c r="F1046" s="80" t="s">
        <v>2184</v>
      </c>
      <c r="G1046" s="80" t="b">
        <v>0</v>
      </c>
      <c r="H1046" s="80" t="b">
        <v>0</v>
      </c>
      <c r="I1046" s="80" t="b">
        <v>0</v>
      </c>
      <c r="J1046" s="80" t="b">
        <v>0</v>
      </c>
      <c r="K1046" s="80" t="b">
        <v>0</v>
      </c>
      <c r="L1046" s="80" t="b">
        <v>0</v>
      </c>
    </row>
    <row r="1047" spans="1:12" ht="15">
      <c r="A1047" s="81" t="s">
        <v>3012</v>
      </c>
      <c r="B1047" s="80" t="s">
        <v>2468</v>
      </c>
      <c r="C1047" s="80">
        <v>2</v>
      </c>
      <c r="D1047" s="104">
        <v>0.0010887444297846714</v>
      </c>
      <c r="E1047" s="104">
        <v>2.821731821690044</v>
      </c>
      <c r="F1047" s="80" t="s">
        <v>2184</v>
      </c>
      <c r="G1047" s="80" t="b">
        <v>0</v>
      </c>
      <c r="H1047" s="80" t="b">
        <v>0</v>
      </c>
      <c r="I1047" s="80" t="b">
        <v>0</v>
      </c>
      <c r="J1047" s="80" t="b">
        <v>0</v>
      </c>
      <c r="K1047" s="80" t="b">
        <v>0</v>
      </c>
      <c r="L1047" s="80" t="b">
        <v>0</v>
      </c>
    </row>
    <row r="1048" spans="1:12" ht="15">
      <c r="A1048" s="81" t="s">
        <v>2399</v>
      </c>
      <c r="B1048" s="80" t="s">
        <v>2438</v>
      </c>
      <c r="C1048" s="80">
        <v>2</v>
      </c>
      <c r="D1048" s="104">
        <v>0.0013875335073667869</v>
      </c>
      <c r="E1048" s="104">
        <v>2.0558150277234124</v>
      </c>
      <c r="F1048" s="80" t="s">
        <v>2184</v>
      </c>
      <c r="G1048" s="80" t="b">
        <v>0</v>
      </c>
      <c r="H1048" s="80" t="b">
        <v>0</v>
      </c>
      <c r="I1048" s="80" t="b">
        <v>0</v>
      </c>
      <c r="J1048" s="80" t="b">
        <v>0</v>
      </c>
      <c r="K1048" s="80" t="b">
        <v>0</v>
      </c>
      <c r="L1048" s="80" t="b">
        <v>0</v>
      </c>
    </row>
    <row r="1049" spans="1:12" ht="15">
      <c r="A1049" s="81" t="s">
        <v>2246</v>
      </c>
      <c r="B1049" s="80" t="s">
        <v>2233</v>
      </c>
      <c r="C1049" s="80">
        <v>2</v>
      </c>
      <c r="D1049" s="104">
        <v>0.0010887444297846714</v>
      </c>
      <c r="E1049" s="104">
        <v>1.7869697154308324</v>
      </c>
      <c r="F1049" s="80" t="s">
        <v>2184</v>
      </c>
      <c r="G1049" s="80" t="b">
        <v>0</v>
      </c>
      <c r="H1049" s="80" t="b">
        <v>0</v>
      </c>
      <c r="I1049" s="80" t="b">
        <v>0</v>
      </c>
      <c r="J1049" s="80" t="b">
        <v>0</v>
      </c>
      <c r="K1049" s="80" t="b">
        <v>0</v>
      </c>
      <c r="L1049" s="80" t="b">
        <v>0</v>
      </c>
    </row>
    <row r="1050" spans="1:12" ht="15">
      <c r="A1050" s="81" t="s">
        <v>2247</v>
      </c>
      <c r="B1050" s="80" t="s">
        <v>3268</v>
      </c>
      <c r="C1050" s="80">
        <v>2</v>
      </c>
      <c r="D1050" s="104">
        <v>0.0010887444297846714</v>
      </c>
      <c r="E1050" s="104">
        <v>2.520701826026063</v>
      </c>
      <c r="F1050" s="80" t="s">
        <v>2184</v>
      </c>
      <c r="G1050" s="80" t="b">
        <v>0</v>
      </c>
      <c r="H1050" s="80" t="b">
        <v>0</v>
      </c>
      <c r="I1050" s="80" t="b">
        <v>0</v>
      </c>
      <c r="J1050" s="80" t="b">
        <v>0</v>
      </c>
      <c r="K1050" s="80" t="b">
        <v>0</v>
      </c>
      <c r="L1050" s="80" t="b">
        <v>0</v>
      </c>
    </row>
    <row r="1051" spans="1:12" ht="15">
      <c r="A1051" s="81" t="s">
        <v>2254</v>
      </c>
      <c r="B1051" s="80" t="s">
        <v>2216</v>
      </c>
      <c r="C1051" s="80">
        <v>2</v>
      </c>
      <c r="D1051" s="104">
        <v>0.0010887444297846714</v>
      </c>
      <c r="E1051" s="104">
        <v>1.265429320922757</v>
      </c>
      <c r="F1051" s="80" t="s">
        <v>2184</v>
      </c>
      <c r="G1051" s="80" t="b">
        <v>0</v>
      </c>
      <c r="H1051" s="80" t="b">
        <v>0</v>
      </c>
      <c r="I1051" s="80" t="b">
        <v>0</v>
      </c>
      <c r="J1051" s="80" t="b">
        <v>0</v>
      </c>
      <c r="K1051" s="80" t="b">
        <v>0</v>
      </c>
      <c r="L1051" s="80" t="b">
        <v>0</v>
      </c>
    </row>
    <row r="1052" spans="1:12" ht="15">
      <c r="A1052" s="81" t="s">
        <v>2740</v>
      </c>
      <c r="B1052" s="80" t="s">
        <v>3066</v>
      </c>
      <c r="C1052" s="80">
        <v>2</v>
      </c>
      <c r="D1052" s="104">
        <v>0.0010887444297846714</v>
      </c>
      <c r="E1052" s="104">
        <v>2.9978230807457256</v>
      </c>
      <c r="F1052" s="80" t="s">
        <v>2184</v>
      </c>
      <c r="G1052" s="80" t="b">
        <v>0</v>
      </c>
      <c r="H1052" s="80" t="b">
        <v>0</v>
      </c>
      <c r="I1052" s="80" t="b">
        <v>0</v>
      </c>
      <c r="J1052" s="80" t="b">
        <v>0</v>
      </c>
      <c r="K1052" s="80" t="b">
        <v>0</v>
      </c>
      <c r="L1052" s="80" t="b">
        <v>0</v>
      </c>
    </row>
    <row r="1053" spans="1:12" ht="15">
      <c r="A1053" s="81" t="s">
        <v>2593</v>
      </c>
      <c r="B1053" s="80" t="s">
        <v>2788</v>
      </c>
      <c r="C1053" s="80">
        <v>2</v>
      </c>
      <c r="D1053" s="104">
        <v>0.0010887444297846714</v>
      </c>
      <c r="E1053" s="104">
        <v>2.821731821690044</v>
      </c>
      <c r="F1053" s="80" t="s">
        <v>2184</v>
      </c>
      <c r="G1053" s="80" t="b">
        <v>0</v>
      </c>
      <c r="H1053" s="80" t="b">
        <v>0</v>
      </c>
      <c r="I1053" s="80" t="b">
        <v>0</v>
      </c>
      <c r="J1053" s="80" t="b">
        <v>0</v>
      </c>
      <c r="K1053" s="80" t="b">
        <v>0</v>
      </c>
      <c r="L1053" s="80" t="b">
        <v>0</v>
      </c>
    </row>
    <row r="1054" spans="1:12" ht="15">
      <c r="A1054" s="81" t="s">
        <v>2834</v>
      </c>
      <c r="B1054" s="80" t="s">
        <v>2500</v>
      </c>
      <c r="C1054" s="80">
        <v>2</v>
      </c>
      <c r="D1054" s="104">
        <v>0.0010887444297846714</v>
      </c>
      <c r="E1054" s="104">
        <v>2.821731821690044</v>
      </c>
      <c r="F1054" s="80" t="s">
        <v>2184</v>
      </c>
      <c r="G1054" s="80" t="b">
        <v>0</v>
      </c>
      <c r="H1054" s="80" t="b">
        <v>0</v>
      </c>
      <c r="I1054" s="80" t="b">
        <v>0</v>
      </c>
      <c r="J1054" s="80" t="b">
        <v>0</v>
      </c>
      <c r="K1054" s="80" t="b">
        <v>0</v>
      </c>
      <c r="L1054" s="80" t="b">
        <v>0</v>
      </c>
    </row>
    <row r="1055" spans="1:12" ht="15">
      <c r="A1055" s="81" t="s">
        <v>3010</v>
      </c>
      <c r="B1055" s="80" t="s">
        <v>2733</v>
      </c>
      <c r="C1055" s="80">
        <v>2</v>
      </c>
      <c r="D1055" s="104">
        <v>0.0013875335073667869</v>
      </c>
      <c r="E1055" s="104">
        <v>2.821731821690044</v>
      </c>
      <c r="F1055" s="80" t="s">
        <v>2184</v>
      </c>
      <c r="G1055" s="80" t="b">
        <v>0</v>
      </c>
      <c r="H1055" s="80" t="b">
        <v>0</v>
      </c>
      <c r="I1055" s="80" t="b">
        <v>0</v>
      </c>
      <c r="J1055" s="80" t="b">
        <v>0</v>
      </c>
      <c r="K1055" s="80" t="b">
        <v>0</v>
      </c>
      <c r="L1055" s="80" t="b">
        <v>0</v>
      </c>
    </row>
    <row r="1056" spans="1:12" ht="15">
      <c r="A1056" s="81" t="s">
        <v>2384</v>
      </c>
      <c r="B1056" s="80" t="s">
        <v>3062</v>
      </c>
      <c r="C1056" s="80">
        <v>2</v>
      </c>
      <c r="D1056" s="104">
        <v>0.0010887444297846714</v>
      </c>
      <c r="E1056" s="104">
        <v>2.821731821690044</v>
      </c>
      <c r="F1056" s="80" t="s">
        <v>2184</v>
      </c>
      <c r="G1056" s="80" t="b">
        <v>0</v>
      </c>
      <c r="H1056" s="80" t="b">
        <v>0</v>
      </c>
      <c r="I1056" s="80" t="b">
        <v>0</v>
      </c>
      <c r="J1056" s="80" t="b">
        <v>0</v>
      </c>
      <c r="K1056" s="80" t="b">
        <v>0</v>
      </c>
      <c r="L1056" s="80" t="b">
        <v>0</v>
      </c>
    </row>
    <row r="1057" spans="1:12" ht="15">
      <c r="A1057" s="81" t="s">
        <v>2218</v>
      </c>
      <c r="B1057" s="80" t="s">
        <v>2218</v>
      </c>
      <c r="C1057" s="80">
        <v>2</v>
      </c>
      <c r="D1057" s="104">
        <v>0.0010887444297846714</v>
      </c>
      <c r="E1057" s="104">
        <v>1.3719963674600144</v>
      </c>
      <c r="F1057" s="80" t="s">
        <v>2184</v>
      </c>
      <c r="G1057" s="80" t="b">
        <v>0</v>
      </c>
      <c r="H1057" s="80" t="b">
        <v>0</v>
      </c>
      <c r="I1057" s="80" t="b">
        <v>0</v>
      </c>
      <c r="J1057" s="80" t="b">
        <v>0</v>
      </c>
      <c r="K1057" s="80" t="b">
        <v>0</v>
      </c>
      <c r="L1057" s="80" t="b">
        <v>0</v>
      </c>
    </row>
    <row r="1058" spans="1:12" ht="15">
      <c r="A1058" s="81" t="s">
        <v>2915</v>
      </c>
      <c r="B1058" s="80" t="s">
        <v>2325</v>
      </c>
      <c r="C1058" s="80">
        <v>2</v>
      </c>
      <c r="D1058" s="104">
        <v>0.0010887444297846714</v>
      </c>
      <c r="E1058" s="104">
        <v>2.821731821690044</v>
      </c>
      <c r="F1058" s="80" t="s">
        <v>2184</v>
      </c>
      <c r="G1058" s="80" t="b">
        <v>0</v>
      </c>
      <c r="H1058" s="80" t="b">
        <v>0</v>
      </c>
      <c r="I1058" s="80" t="b">
        <v>0</v>
      </c>
      <c r="J1058" s="80" t="b">
        <v>0</v>
      </c>
      <c r="K1058" s="80" t="b">
        <v>0</v>
      </c>
      <c r="L1058" s="80" t="b">
        <v>0</v>
      </c>
    </row>
    <row r="1059" spans="1:12" ht="15">
      <c r="A1059" s="81" t="s">
        <v>2420</v>
      </c>
      <c r="B1059" s="80" t="s">
        <v>2726</v>
      </c>
      <c r="C1059" s="80">
        <v>2</v>
      </c>
      <c r="D1059" s="104">
        <v>0.0010887444297846714</v>
      </c>
      <c r="E1059" s="104">
        <v>2.5998830720736876</v>
      </c>
      <c r="F1059" s="80" t="s">
        <v>2184</v>
      </c>
      <c r="G1059" s="80" t="b">
        <v>0</v>
      </c>
      <c r="H1059" s="80" t="b">
        <v>0</v>
      </c>
      <c r="I1059" s="80" t="b">
        <v>0</v>
      </c>
      <c r="J1059" s="80" t="b">
        <v>0</v>
      </c>
      <c r="K1059" s="80" t="b">
        <v>0</v>
      </c>
      <c r="L1059" s="80" t="b">
        <v>0</v>
      </c>
    </row>
    <row r="1060" spans="1:12" ht="15">
      <c r="A1060" s="81" t="s">
        <v>2225</v>
      </c>
      <c r="B1060" s="80" t="s">
        <v>2679</v>
      </c>
      <c r="C1060" s="80">
        <v>2</v>
      </c>
      <c r="D1060" s="104">
        <v>0.0013875335073667869</v>
      </c>
      <c r="E1060" s="104">
        <v>2.2574603912514815</v>
      </c>
      <c r="F1060" s="80" t="s">
        <v>2184</v>
      </c>
      <c r="G1060" s="80" t="b">
        <v>0</v>
      </c>
      <c r="H1060" s="80" t="b">
        <v>0</v>
      </c>
      <c r="I1060" s="80" t="b">
        <v>0</v>
      </c>
      <c r="J1060" s="80" t="b">
        <v>0</v>
      </c>
      <c r="K1060" s="80" t="b">
        <v>0</v>
      </c>
      <c r="L1060" s="80" t="b">
        <v>0</v>
      </c>
    </row>
    <row r="1061" spans="1:12" ht="15">
      <c r="A1061" s="81" t="s">
        <v>2214</v>
      </c>
      <c r="B1061" s="80" t="s">
        <v>2357</v>
      </c>
      <c r="C1061" s="80">
        <v>2</v>
      </c>
      <c r="D1061" s="104">
        <v>0.0010887444297846714</v>
      </c>
      <c r="E1061" s="104">
        <v>1.8217318216900442</v>
      </c>
      <c r="F1061" s="80" t="s">
        <v>2184</v>
      </c>
      <c r="G1061" s="80" t="b">
        <v>0</v>
      </c>
      <c r="H1061" s="80" t="b">
        <v>0</v>
      </c>
      <c r="I1061" s="80" t="b">
        <v>0</v>
      </c>
      <c r="J1061" s="80" t="b">
        <v>0</v>
      </c>
      <c r="K1061" s="80" t="b">
        <v>0</v>
      </c>
      <c r="L1061" s="80" t="b">
        <v>0</v>
      </c>
    </row>
    <row r="1062" spans="1:12" ht="15">
      <c r="A1062" s="81" t="s">
        <v>2847</v>
      </c>
      <c r="B1062" s="80" t="s">
        <v>2845</v>
      </c>
      <c r="C1062" s="80">
        <v>2</v>
      </c>
      <c r="D1062" s="104">
        <v>0.0010887444297846714</v>
      </c>
      <c r="E1062" s="104">
        <v>2.9978230807457256</v>
      </c>
      <c r="F1062" s="80" t="s">
        <v>2184</v>
      </c>
      <c r="G1062" s="80" t="b">
        <v>0</v>
      </c>
      <c r="H1062" s="80" t="b">
        <v>0</v>
      </c>
      <c r="I1062" s="80" t="b">
        <v>0</v>
      </c>
      <c r="J1062" s="80" t="b">
        <v>0</v>
      </c>
      <c r="K1062" s="80" t="b">
        <v>0</v>
      </c>
      <c r="L1062" s="80" t="b">
        <v>0</v>
      </c>
    </row>
    <row r="1063" spans="1:12" ht="15">
      <c r="A1063" s="81" t="s">
        <v>2472</v>
      </c>
      <c r="B1063" s="80" t="s">
        <v>2267</v>
      </c>
      <c r="C1063" s="80">
        <v>2</v>
      </c>
      <c r="D1063" s="104">
        <v>0.0010887444297846714</v>
      </c>
      <c r="E1063" s="104">
        <v>2.344610566970382</v>
      </c>
      <c r="F1063" s="80" t="s">
        <v>2184</v>
      </c>
      <c r="G1063" s="80" t="b">
        <v>0</v>
      </c>
      <c r="H1063" s="80" t="b">
        <v>0</v>
      </c>
      <c r="I1063" s="80" t="b">
        <v>0</v>
      </c>
      <c r="J1063" s="80" t="b">
        <v>0</v>
      </c>
      <c r="K1063" s="80" t="b">
        <v>0</v>
      </c>
      <c r="L1063" s="80" t="b">
        <v>0</v>
      </c>
    </row>
    <row r="1064" spans="1:12" ht="15">
      <c r="A1064" s="81" t="s">
        <v>3007</v>
      </c>
      <c r="B1064" s="80" t="s">
        <v>3314</v>
      </c>
      <c r="C1064" s="80">
        <v>2</v>
      </c>
      <c r="D1064" s="104">
        <v>0.0013875335073667869</v>
      </c>
      <c r="E1064" s="104">
        <v>2.9978230807457256</v>
      </c>
      <c r="F1064" s="80" t="s">
        <v>2184</v>
      </c>
      <c r="G1064" s="80" t="b">
        <v>0</v>
      </c>
      <c r="H1064" s="80" t="b">
        <v>0</v>
      </c>
      <c r="I1064" s="80" t="b">
        <v>0</v>
      </c>
      <c r="J1064" s="80" t="b">
        <v>0</v>
      </c>
      <c r="K1064" s="80" t="b">
        <v>0</v>
      </c>
      <c r="L1064" s="80" t="b">
        <v>0</v>
      </c>
    </row>
    <row r="1065" spans="1:12" ht="15">
      <c r="A1065" s="81" t="s">
        <v>2852</v>
      </c>
      <c r="B1065" s="80" t="s">
        <v>2217</v>
      </c>
      <c r="C1065" s="80">
        <v>2</v>
      </c>
      <c r="D1065" s="104">
        <v>0.0010887444297846714</v>
      </c>
      <c r="E1065" s="104">
        <v>2.094733093753782</v>
      </c>
      <c r="F1065" s="80" t="s">
        <v>2184</v>
      </c>
      <c r="G1065" s="80" t="b">
        <v>0</v>
      </c>
      <c r="H1065" s="80" t="b">
        <v>0</v>
      </c>
      <c r="I1065" s="80" t="b">
        <v>0</v>
      </c>
      <c r="J1065" s="80" t="b">
        <v>0</v>
      </c>
      <c r="K1065" s="80" t="b">
        <v>0</v>
      </c>
      <c r="L1065" s="80" t="b">
        <v>0</v>
      </c>
    </row>
    <row r="1066" spans="1:12" ht="15">
      <c r="A1066" s="81" t="s">
        <v>2500</v>
      </c>
      <c r="B1066" s="80" t="s">
        <v>2433</v>
      </c>
      <c r="C1066" s="80">
        <v>2</v>
      </c>
      <c r="D1066" s="104">
        <v>0.0010887444297846714</v>
      </c>
      <c r="E1066" s="104">
        <v>2.6967930850817443</v>
      </c>
      <c r="F1066" s="80" t="s">
        <v>2184</v>
      </c>
      <c r="G1066" s="80" t="b">
        <v>0</v>
      </c>
      <c r="H1066" s="80" t="b">
        <v>0</v>
      </c>
      <c r="I1066" s="80" t="b">
        <v>0</v>
      </c>
      <c r="J1066" s="80" t="b">
        <v>0</v>
      </c>
      <c r="K1066" s="80" t="b">
        <v>0</v>
      </c>
      <c r="L1066" s="80" t="b">
        <v>0</v>
      </c>
    </row>
    <row r="1067" spans="1:12" ht="15">
      <c r="A1067" s="81" t="s">
        <v>2814</v>
      </c>
      <c r="B1067" s="80" t="s">
        <v>2847</v>
      </c>
      <c r="C1067" s="80">
        <v>2</v>
      </c>
      <c r="D1067" s="104">
        <v>0.0010887444297846714</v>
      </c>
      <c r="E1067" s="104">
        <v>2.9978230807457256</v>
      </c>
      <c r="F1067" s="80" t="s">
        <v>2184</v>
      </c>
      <c r="G1067" s="80" t="b">
        <v>0</v>
      </c>
      <c r="H1067" s="80" t="b">
        <v>0</v>
      </c>
      <c r="I1067" s="80" t="b">
        <v>0</v>
      </c>
      <c r="J1067" s="80" t="b">
        <v>0</v>
      </c>
      <c r="K1067" s="80" t="b">
        <v>0</v>
      </c>
      <c r="L1067" s="80" t="b">
        <v>0</v>
      </c>
    </row>
    <row r="1068" spans="1:12" ht="15">
      <c r="A1068" s="81" t="s">
        <v>2240</v>
      </c>
      <c r="B1068" s="80" t="s">
        <v>2470</v>
      </c>
      <c r="C1068" s="80">
        <v>2</v>
      </c>
      <c r="D1068" s="104">
        <v>0.0010887444297846714</v>
      </c>
      <c r="E1068" s="104">
        <v>2.094733093753782</v>
      </c>
      <c r="F1068" s="80" t="s">
        <v>2184</v>
      </c>
      <c r="G1068" s="80" t="b">
        <v>0</v>
      </c>
      <c r="H1068" s="80" t="b">
        <v>0</v>
      </c>
      <c r="I1068" s="80" t="b">
        <v>0</v>
      </c>
      <c r="J1068" s="80" t="b">
        <v>0</v>
      </c>
      <c r="K1068" s="80" t="b">
        <v>0</v>
      </c>
      <c r="L1068" s="80" t="b">
        <v>0</v>
      </c>
    </row>
    <row r="1069" spans="1:12" ht="15">
      <c r="A1069" s="81" t="s">
        <v>3209</v>
      </c>
      <c r="B1069" s="80" t="s">
        <v>3148</v>
      </c>
      <c r="C1069" s="80">
        <v>2</v>
      </c>
      <c r="D1069" s="104">
        <v>0.0010887444297846714</v>
      </c>
      <c r="E1069" s="104">
        <v>2.9978230807457256</v>
      </c>
      <c r="F1069" s="80" t="s">
        <v>2184</v>
      </c>
      <c r="G1069" s="80" t="b">
        <v>0</v>
      </c>
      <c r="H1069" s="80" t="b">
        <v>0</v>
      </c>
      <c r="I1069" s="80" t="b">
        <v>0</v>
      </c>
      <c r="J1069" s="80" t="b">
        <v>0</v>
      </c>
      <c r="K1069" s="80" t="b">
        <v>0</v>
      </c>
      <c r="L1069" s="80" t="b">
        <v>0</v>
      </c>
    </row>
    <row r="1070" spans="1:12" ht="15">
      <c r="A1070" s="81" t="s">
        <v>2777</v>
      </c>
      <c r="B1070" s="80" t="s">
        <v>2247</v>
      </c>
      <c r="C1070" s="80">
        <v>2</v>
      </c>
      <c r="D1070" s="104">
        <v>0.0010887444297846714</v>
      </c>
      <c r="E1070" s="104">
        <v>2.520701826026063</v>
      </c>
      <c r="F1070" s="80" t="s">
        <v>2184</v>
      </c>
      <c r="G1070" s="80" t="b">
        <v>0</v>
      </c>
      <c r="H1070" s="80" t="b">
        <v>0</v>
      </c>
      <c r="I1070" s="80" t="b">
        <v>0</v>
      </c>
      <c r="J1070" s="80" t="b">
        <v>0</v>
      </c>
      <c r="K1070" s="80" t="b">
        <v>0</v>
      </c>
      <c r="L1070" s="80" t="b">
        <v>0</v>
      </c>
    </row>
    <row r="1071" spans="1:12" ht="15">
      <c r="A1071" s="81" t="s">
        <v>2216</v>
      </c>
      <c r="B1071" s="80" t="s">
        <v>2446</v>
      </c>
      <c r="C1071" s="80">
        <v>2</v>
      </c>
      <c r="D1071" s="104">
        <v>0.0010887444297846714</v>
      </c>
      <c r="E1071" s="104">
        <v>1.8674893122507195</v>
      </c>
      <c r="F1071" s="80" t="s">
        <v>2184</v>
      </c>
      <c r="G1071" s="80" t="b">
        <v>0</v>
      </c>
      <c r="H1071" s="80" t="b">
        <v>0</v>
      </c>
      <c r="I1071" s="80" t="b">
        <v>0</v>
      </c>
      <c r="J1071" s="80" t="b">
        <v>0</v>
      </c>
      <c r="K1071" s="80" t="b">
        <v>0</v>
      </c>
      <c r="L1071" s="80" t="b">
        <v>0</v>
      </c>
    </row>
    <row r="1072" spans="1:12" ht="15">
      <c r="A1072" s="81" t="s">
        <v>2371</v>
      </c>
      <c r="B1072" s="80" t="s">
        <v>3287</v>
      </c>
      <c r="C1072" s="80">
        <v>2</v>
      </c>
      <c r="D1072" s="104">
        <v>0.0010887444297846714</v>
      </c>
      <c r="E1072" s="104">
        <v>2.5998830720736876</v>
      </c>
      <c r="F1072" s="80" t="s">
        <v>2184</v>
      </c>
      <c r="G1072" s="80" t="b">
        <v>0</v>
      </c>
      <c r="H1072" s="80" t="b">
        <v>0</v>
      </c>
      <c r="I1072" s="80" t="b">
        <v>0</v>
      </c>
      <c r="J1072" s="80" t="b">
        <v>0</v>
      </c>
      <c r="K1072" s="80" t="b">
        <v>0</v>
      </c>
      <c r="L1072" s="80" t="b">
        <v>0</v>
      </c>
    </row>
    <row r="1073" spans="1:12" ht="15">
      <c r="A1073" s="81" t="s">
        <v>3268</v>
      </c>
      <c r="B1073" s="80" t="s">
        <v>3183</v>
      </c>
      <c r="C1073" s="80">
        <v>2</v>
      </c>
      <c r="D1073" s="104">
        <v>0.0010887444297846714</v>
      </c>
      <c r="E1073" s="104">
        <v>2.9978230807457256</v>
      </c>
      <c r="F1073" s="80" t="s">
        <v>2184</v>
      </c>
      <c r="G1073" s="80" t="b">
        <v>0</v>
      </c>
      <c r="H1073" s="80" t="b">
        <v>0</v>
      </c>
      <c r="I1073" s="80" t="b">
        <v>0</v>
      </c>
      <c r="J1073" s="80" t="b">
        <v>0</v>
      </c>
      <c r="K1073" s="80" t="b">
        <v>0</v>
      </c>
      <c r="L1073" s="80" t="b">
        <v>0</v>
      </c>
    </row>
    <row r="1074" spans="1:12" ht="15">
      <c r="A1074" s="81" t="s">
        <v>3287</v>
      </c>
      <c r="B1074" s="80" t="s">
        <v>3089</v>
      </c>
      <c r="C1074" s="80">
        <v>2</v>
      </c>
      <c r="D1074" s="104">
        <v>0.0010887444297846714</v>
      </c>
      <c r="E1074" s="104">
        <v>2.9978230807457256</v>
      </c>
      <c r="F1074" s="80" t="s">
        <v>2184</v>
      </c>
      <c r="G1074" s="80" t="b">
        <v>0</v>
      </c>
      <c r="H1074" s="80" t="b">
        <v>0</v>
      </c>
      <c r="I1074" s="80" t="b">
        <v>0</v>
      </c>
      <c r="J1074" s="80" t="b">
        <v>0</v>
      </c>
      <c r="K1074" s="80" t="b">
        <v>0</v>
      </c>
      <c r="L1074" s="80" t="b">
        <v>0</v>
      </c>
    </row>
    <row r="1075" spans="1:12" ht="15">
      <c r="A1075" s="81" t="s">
        <v>2239</v>
      </c>
      <c r="B1075" s="80" t="s">
        <v>2327</v>
      </c>
      <c r="C1075" s="80">
        <v>2</v>
      </c>
      <c r="D1075" s="104">
        <v>0.0010887444297846714</v>
      </c>
      <c r="E1075" s="104">
        <v>1.6408416797525942</v>
      </c>
      <c r="F1075" s="80" t="s">
        <v>2184</v>
      </c>
      <c r="G1075" s="80" t="b">
        <v>0</v>
      </c>
      <c r="H1075" s="80" t="b">
        <v>0</v>
      </c>
      <c r="I1075" s="80" t="b">
        <v>0</v>
      </c>
      <c r="J1075" s="80" t="b">
        <v>0</v>
      </c>
      <c r="K1075" s="80" t="b">
        <v>0</v>
      </c>
      <c r="L1075" s="80" t="b">
        <v>0</v>
      </c>
    </row>
    <row r="1076" spans="1:12" ht="15">
      <c r="A1076" s="81" t="s">
        <v>3291</v>
      </c>
      <c r="B1076" s="80" t="s">
        <v>3092</v>
      </c>
      <c r="C1076" s="80">
        <v>2</v>
      </c>
      <c r="D1076" s="104">
        <v>0.0013875335073667869</v>
      </c>
      <c r="E1076" s="104">
        <v>2.9978230807457256</v>
      </c>
      <c r="F1076" s="80" t="s">
        <v>2184</v>
      </c>
      <c r="G1076" s="80" t="b">
        <v>0</v>
      </c>
      <c r="H1076" s="80" t="b">
        <v>0</v>
      </c>
      <c r="I1076" s="80" t="b">
        <v>0</v>
      </c>
      <c r="J1076" s="80" t="b">
        <v>0</v>
      </c>
      <c r="K1076" s="80" t="b">
        <v>0</v>
      </c>
      <c r="L1076" s="80" t="b">
        <v>0</v>
      </c>
    </row>
    <row r="1077" spans="1:12" ht="15">
      <c r="A1077" s="81" t="s">
        <v>3026</v>
      </c>
      <c r="B1077" s="80" t="s">
        <v>3159</v>
      </c>
      <c r="C1077" s="80">
        <v>2</v>
      </c>
      <c r="D1077" s="104">
        <v>0.0013875335073667869</v>
      </c>
      <c r="E1077" s="104">
        <v>2.9978230807457256</v>
      </c>
      <c r="F1077" s="80" t="s">
        <v>2184</v>
      </c>
      <c r="G1077" s="80" t="b">
        <v>0</v>
      </c>
      <c r="H1077" s="80" t="b">
        <v>0</v>
      </c>
      <c r="I1077" s="80" t="b">
        <v>0</v>
      </c>
      <c r="J1077" s="80" t="b">
        <v>0</v>
      </c>
      <c r="K1077" s="80" t="b">
        <v>0</v>
      </c>
      <c r="L1077" s="80" t="b">
        <v>0</v>
      </c>
    </row>
    <row r="1078" spans="1:12" ht="15">
      <c r="A1078" s="81" t="s">
        <v>3062</v>
      </c>
      <c r="B1078" s="80" t="s">
        <v>2787</v>
      </c>
      <c r="C1078" s="80">
        <v>2</v>
      </c>
      <c r="D1078" s="104">
        <v>0.0010887444297846714</v>
      </c>
      <c r="E1078" s="104">
        <v>2.821731821690044</v>
      </c>
      <c r="F1078" s="80" t="s">
        <v>2184</v>
      </c>
      <c r="G1078" s="80" t="b">
        <v>0</v>
      </c>
      <c r="H1078" s="80" t="b">
        <v>0</v>
      </c>
      <c r="I1078" s="80" t="b">
        <v>0</v>
      </c>
      <c r="J1078" s="80" t="b">
        <v>0</v>
      </c>
      <c r="K1078" s="80" t="b">
        <v>0</v>
      </c>
      <c r="L1078" s="80" t="b">
        <v>0</v>
      </c>
    </row>
    <row r="1079" spans="1:12" ht="15">
      <c r="A1079" s="81" t="s">
        <v>2759</v>
      </c>
      <c r="B1079" s="80" t="s">
        <v>2243</v>
      </c>
      <c r="C1079" s="80">
        <v>2</v>
      </c>
      <c r="D1079" s="104">
        <v>0.0013875335073667869</v>
      </c>
      <c r="E1079" s="104">
        <v>2.520701826026063</v>
      </c>
      <c r="F1079" s="80" t="s">
        <v>2184</v>
      </c>
      <c r="G1079" s="80" t="b">
        <v>0</v>
      </c>
      <c r="H1079" s="80" t="b">
        <v>0</v>
      </c>
      <c r="I1079" s="80" t="b">
        <v>0</v>
      </c>
      <c r="J1079" s="80" t="b">
        <v>0</v>
      </c>
      <c r="K1079" s="80" t="b">
        <v>0</v>
      </c>
      <c r="L1079" s="80" t="b">
        <v>0</v>
      </c>
    </row>
    <row r="1080" spans="1:12" ht="15">
      <c r="A1080" s="81" t="s">
        <v>2868</v>
      </c>
      <c r="B1080" s="80" t="s">
        <v>2852</v>
      </c>
      <c r="C1080" s="80">
        <v>2</v>
      </c>
      <c r="D1080" s="104">
        <v>0.0010887444297846714</v>
      </c>
      <c r="E1080" s="104">
        <v>2.9978230807457256</v>
      </c>
      <c r="F1080" s="80" t="s">
        <v>2184</v>
      </c>
      <c r="G1080" s="80" t="b">
        <v>0</v>
      </c>
      <c r="H1080" s="80" t="b">
        <v>0</v>
      </c>
      <c r="I1080" s="80" t="b">
        <v>0</v>
      </c>
      <c r="J1080" s="80" t="b">
        <v>0</v>
      </c>
      <c r="K1080" s="80" t="b">
        <v>0</v>
      </c>
      <c r="L1080" s="80" t="b">
        <v>0</v>
      </c>
    </row>
    <row r="1081" spans="1:12" ht="15">
      <c r="A1081" s="81" t="s">
        <v>2217</v>
      </c>
      <c r="B1081" s="80" t="s">
        <v>2405</v>
      </c>
      <c r="C1081" s="80">
        <v>2</v>
      </c>
      <c r="D1081" s="104">
        <v>0.0013875335073667869</v>
      </c>
      <c r="E1081" s="104">
        <v>1.5506650494035061</v>
      </c>
      <c r="F1081" s="80" t="s">
        <v>2184</v>
      </c>
      <c r="G1081" s="80" t="b">
        <v>0</v>
      </c>
      <c r="H1081" s="80" t="b">
        <v>0</v>
      </c>
      <c r="I1081" s="80" t="b">
        <v>0</v>
      </c>
      <c r="J1081" s="80" t="b">
        <v>0</v>
      </c>
      <c r="K1081" s="80" t="b">
        <v>0</v>
      </c>
      <c r="L1081" s="80" t="b">
        <v>0</v>
      </c>
    </row>
    <row r="1082" spans="1:12" ht="15">
      <c r="A1082" s="81" t="s">
        <v>2433</v>
      </c>
      <c r="B1082" s="80" t="s">
        <v>2225</v>
      </c>
      <c r="C1082" s="80">
        <v>2</v>
      </c>
      <c r="D1082" s="104">
        <v>0.0010887444297846714</v>
      </c>
      <c r="E1082" s="104">
        <v>1.7425505756424193</v>
      </c>
      <c r="F1082" s="80" t="s">
        <v>2184</v>
      </c>
      <c r="G1082" s="80" t="b">
        <v>0</v>
      </c>
      <c r="H1082" s="80" t="b">
        <v>0</v>
      </c>
      <c r="I1082" s="80" t="b">
        <v>0</v>
      </c>
      <c r="J1082" s="80" t="b">
        <v>0</v>
      </c>
      <c r="K1082" s="80" t="b">
        <v>0</v>
      </c>
      <c r="L1082" s="80" t="b">
        <v>0</v>
      </c>
    </row>
    <row r="1083" spans="1:12" ht="15">
      <c r="A1083" s="81" t="s">
        <v>3183</v>
      </c>
      <c r="B1083" s="80" t="s">
        <v>2215</v>
      </c>
      <c r="C1083" s="80">
        <v>2</v>
      </c>
      <c r="D1083" s="104">
        <v>0.0010887444297846714</v>
      </c>
      <c r="E1083" s="104">
        <v>1.6967930850817443</v>
      </c>
      <c r="F1083" s="80" t="s">
        <v>2184</v>
      </c>
      <c r="G1083" s="80" t="b">
        <v>0</v>
      </c>
      <c r="H1083" s="80" t="b">
        <v>0</v>
      </c>
      <c r="I1083" s="80" t="b">
        <v>0</v>
      </c>
      <c r="J1083" s="80" t="b">
        <v>0</v>
      </c>
      <c r="K1083" s="80" t="b">
        <v>0</v>
      </c>
      <c r="L1083" s="80" t="b">
        <v>0</v>
      </c>
    </row>
    <row r="1084" spans="1:12" ht="15">
      <c r="A1084" s="81" t="s">
        <v>2325</v>
      </c>
      <c r="B1084" s="80" t="s">
        <v>3277</v>
      </c>
      <c r="C1084" s="80">
        <v>2</v>
      </c>
      <c r="D1084" s="104">
        <v>0.0010887444297846714</v>
      </c>
      <c r="E1084" s="104">
        <v>2.821731821690044</v>
      </c>
      <c r="F1084" s="80" t="s">
        <v>2184</v>
      </c>
      <c r="G1084" s="80" t="b">
        <v>0</v>
      </c>
      <c r="H1084" s="80" t="b">
        <v>0</v>
      </c>
      <c r="I1084" s="80" t="b">
        <v>0</v>
      </c>
      <c r="J1084" s="80" t="b">
        <v>0</v>
      </c>
      <c r="K1084" s="80" t="b">
        <v>0</v>
      </c>
      <c r="L1084" s="80" t="b">
        <v>0</v>
      </c>
    </row>
    <row r="1085" spans="1:12" ht="15">
      <c r="A1085" s="81" t="s">
        <v>2873</v>
      </c>
      <c r="B1085" s="80" t="s">
        <v>2384</v>
      </c>
      <c r="C1085" s="80">
        <v>2</v>
      </c>
      <c r="D1085" s="104">
        <v>0.0010887444297846714</v>
      </c>
      <c r="E1085" s="104">
        <v>2.821731821690044</v>
      </c>
      <c r="F1085" s="80" t="s">
        <v>2184</v>
      </c>
      <c r="G1085" s="80" t="b">
        <v>0</v>
      </c>
      <c r="H1085" s="80" t="b">
        <v>0</v>
      </c>
      <c r="I1085" s="80" t="b">
        <v>0</v>
      </c>
      <c r="J1085" s="80" t="b">
        <v>0</v>
      </c>
      <c r="K1085" s="80" t="b">
        <v>0</v>
      </c>
      <c r="L1085" s="80" t="b">
        <v>0</v>
      </c>
    </row>
    <row r="1086" spans="1:12" ht="15">
      <c r="A1086" s="81" t="s">
        <v>2336</v>
      </c>
      <c r="B1086" s="80" t="s">
        <v>2216</v>
      </c>
      <c r="C1086" s="80">
        <v>2</v>
      </c>
      <c r="D1086" s="104">
        <v>0.0010887444297846714</v>
      </c>
      <c r="E1086" s="104">
        <v>1.4695493035786817</v>
      </c>
      <c r="F1086" s="80" t="s">
        <v>2184</v>
      </c>
      <c r="G1086" s="80" t="b">
        <v>1</v>
      </c>
      <c r="H1086" s="80" t="b">
        <v>0</v>
      </c>
      <c r="I1086" s="80" t="b">
        <v>0</v>
      </c>
      <c r="J1086" s="80" t="b">
        <v>0</v>
      </c>
      <c r="K1086" s="80" t="b">
        <v>0</v>
      </c>
      <c r="L1086" s="80" t="b">
        <v>0</v>
      </c>
    </row>
    <row r="1087" spans="1:12" ht="15">
      <c r="A1087" s="81" t="s">
        <v>2221</v>
      </c>
      <c r="B1087" s="80" t="s">
        <v>2433</v>
      </c>
      <c r="C1087" s="80">
        <v>2</v>
      </c>
      <c r="D1087" s="104">
        <v>0.0010887444297846714</v>
      </c>
      <c r="E1087" s="104">
        <v>1.6967930850817443</v>
      </c>
      <c r="F1087" s="80" t="s">
        <v>2184</v>
      </c>
      <c r="G1087" s="80" t="b">
        <v>0</v>
      </c>
      <c r="H1087" s="80" t="b">
        <v>0</v>
      </c>
      <c r="I1087" s="80" t="b">
        <v>0</v>
      </c>
      <c r="J1087" s="80" t="b">
        <v>0</v>
      </c>
      <c r="K1087" s="80" t="b">
        <v>0</v>
      </c>
      <c r="L1087" s="80" t="b">
        <v>0</v>
      </c>
    </row>
    <row r="1088" spans="1:12" ht="15">
      <c r="A1088" s="81" t="s">
        <v>2230</v>
      </c>
      <c r="B1088" s="80" t="s">
        <v>2246</v>
      </c>
      <c r="C1088" s="80">
        <v>2</v>
      </c>
      <c r="D1088" s="104">
        <v>0.0010887444297846714</v>
      </c>
      <c r="E1088" s="104">
        <v>1.6756037860118063</v>
      </c>
      <c r="F1088" s="80" t="s">
        <v>2184</v>
      </c>
      <c r="G1088" s="80" t="b">
        <v>0</v>
      </c>
      <c r="H1088" s="80" t="b">
        <v>0</v>
      </c>
      <c r="I1088" s="80" t="b">
        <v>0</v>
      </c>
      <c r="J1088" s="80" t="b">
        <v>0</v>
      </c>
      <c r="K1088" s="80" t="b">
        <v>0</v>
      </c>
      <c r="L1088" s="80" t="b">
        <v>0</v>
      </c>
    </row>
    <row r="1089" spans="1:12" ht="15">
      <c r="A1089" s="81" t="s">
        <v>2691</v>
      </c>
      <c r="B1089" s="80" t="s">
        <v>2271</v>
      </c>
      <c r="C1089" s="80">
        <v>2</v>
      </c>
      <c r="D1089" s="104">
        <v>0.0010887444297846714</v>
      </c>
      <c r="E1089" s="104">
        <v>2.6967930850817443</v>
      </c>
      <c r="F1089" s="80" t="s">
        <v>2184</v>
      </c>
      <c r="G1089" s="80" t="b">
        <v>0</v>
      </c>
      <c r="H1089" s="80" t="b">
        <v>0</v>
      </c>
      <c r="I1089" s="80" t="b">
        <v>0</v>
      </c>
      <c r="J1089" s="80" t="b">
        <v>0</v>
      </c>
      <c r="K1089" s="80" t="b">
        <v>0</v>
      </c>
      <c r="L1089" s="80" t="b">
        <v>0</v>
      </c>
    </row>
    <row r="1090" spans="1:12" ht="15">
      <c r="A1090" s="81" t="s">
        <v>2218</v>
      </c>
      <c r="B1090" s="80" t="s">
        <v>3338</v>
      </c>
      <c r="C1090" s="80">
        <v>2</v>
      </c>
      <c r="D1090" s="104">
        <v>0.0010887444297846714</v>
      </c>
      <c r="E1090" s="104">
        <v>2.18490972410287</v>
      </c>
      <c r="F1090" s="80" t="s">
        <v>2184</v>
      </c>
      <c r="G1090" s="80" t="b">
        <v>0</v>
      </c>
      <c r="H1090" s="80" t="b">
        <v>0</v>
      </c>
      <c r="I1090" s="80" t="b">
        <v>0</v>
      </c>
      <c r="J1090" s="80" t="b">
        <v>0</v>
      </c>
      <c r="K1090" s="80" t="b">
        <v>0</v>
      </c>
      <c r="L1090" s="80" t="b">
        <v>0</v>
      </c>
    </row>
    <row r="1091" spans="1:12" ht="15">
      <c r="A1091" s="81" t="s">
        <v>3296</v>
      </c>
      <c r="B1091" s="80" t="s">
        <v>2797</v>
      </c>
      <c r="C1091" s="80">
        <v>2</v>
      </c>
      <c r="D1091" s="104">
        <v>0.0013875335073667869</v>
      </c>
      <c r="E1091" s="104">
        <v>2.821731821690044</v>
      </c>
      <c r="F1091" s="80" t="s">
        <v>2184</v>
      </c>
      <c r="G1091" s="80" t="b">
        <v>0</v>
      </c>
      <c r="H1091" s="80" t="b">
        <v>0</v>
      </c>
      <c r="I1091" s="80" t="b">
        <v>0</v>
      </c>
      <c r="J1091" s="80" t="b">
        <v>0</v>
      </c>
      <c r="K1091" s="80" t="b">
        <v>0</v>
      </c>
      <c r="L1091" s="80" t="b">
        <v>0</v>
      </c>
    </row>
    <row r="1092" spans="1:12" ht="15">
      <c r="A1092" s="81" t="s">
        <v>2217</v>
      </c>
      <c r="B1092" s="80" t="s">
        <v>2361</v>
      </c>
      <c r="C1092" s="80">
        <v>2</v>
      </c>
      <c r="D1092" s="104">
        <v>0.0010887444297846714</v>
      </c>
      <c r="E1092" s="104">
        <v>1.9186418346981007</v>
      </c>
      <c r="F1092" s="80" t="s">
        <v>2184</v>
      </c>
      <c r="G1092" s="80" t="b">
        <v>0</v>
      </c>
      <c r="H1092" s="80" t="b">
        <v>0</v>
      </c>
      <c r="I1092" s="80" t="b">
        <v>0</v>
      </c>
      <c r="J1092" s="80" t="b">
        <v>0</v>
      </c>
      <c r="K1092" s="80" t="b">
        <v>0</v>
      </c>
      <c r="L1092" s="80" t="b">
        <v>0</v>
      </c>
    </row>
    <row r="1093" spans="1:12" ht="15">
      <c r="A1093" s="81" t="s">
        <v>2994</v>
      </c>
      <c r="B1093" s="80" t="s">
        <v>2873</v>
      </c>
      <c r="C1093" s="80">
        <v>2</v>
      </c>
      <c r="D1093" s="104">
        <v>0.0010887444297846714</v>
      </c>
      <c r="E1093" s="104">
        <v>2.9978230807457256</v>
      </c>
      <c r="F1093" s="80" t="s">
        <v>2184</v>
      </c>
      <c r="G1093" s="80" t="b">
        <v>0</v>
      </c>
      <c r="H1093" s="80" t="b">
        <v>1</v>
      </c>
      <c r="I1093" s="80" t="b">
        <v>0</v>
      </c>
      <c r="J1093" s="80" t="b">
        <v>0</v>
      </c>
      <c r="K1093" s="80" t="b">
        <v>0</v>
      </c>
      <c r="L1093" s="80" t="b">
        <v>0</v>
      </c>
    </row>
    <row r="1094" spans="1:12" ht="15">
      <c r="A1094" s="81" t="s">
        <v>2433</v>
      </c>
      <c r="B1094" s="80" t="s">
        <v>2221</v>
      </c>
      <c r="C1094" s="80">
        <v>2</v>
      </c>
      <c r="D1094" s="104">
        <v>0.0010887444297846714</v>
      </c>
      <c r="E1094" s="104">
        <v>1.6967930850817443</v>
      </c>
      <c r="F1094" s="80" t="s">
        <v>2184</v>
      </c>
      <c r="G1094" s="80" t="b">
        <v>0</v>
      </c>
      <c r="H1094" s="80" t="b">
        <v>0</v>
      </c>
      <c r="I1094" s="80" t="b">
        <v>0</v>
      </c>
      <c r="J1094" s="80" t="b">
        <v>0</v>
      </c>
      <c r="K1094" s="80" t="b">
        <v>0</v>
      </c>
      <c r="L1094" s="80" t="b">
        <v>0</v>
      </c>
    </row>
    <row r="1095" spans="1:12" ht="15">
      <c r="A1095" s="81" t="s">
        <v>2213</v>
      </c>
      <c r="B1095" s="80" t="s">
        <v>2214</v>
      </c>
      <c r="C1095" s="80">
        <v>24</v>
      </c>
      <c r="D1095" s="104">
        <v>0.0030449691784646526</v>
      </c>
      <c r="E1095" s="104">
        <v>1.4620837092721148</v>
      </c>
      <c r="F1095" s="80" t="s">
        <v>2185</v>
      </c>
      <c r="G1095" s="80" t="b">
        <v>0</v>
      </c>
      <c r="H1095" s="80" t="b">
        <v>0</v>
      </c>
      <c r="I1095" s="80" t="b">
        <v>0</v>
      </c>
      <c r="J1095" s="80" t="b">
        <v>0</v>
      </c>
      <c r="K1095" s="80" t="b">
        <v>0</v>
      </c>
      <c r="L1095" s="80" t="b">
        <v>0</v>
      </c>
    </row>
    <row r="1096" spans="1:12" ht="15">
      <c r="A1096" s="81" t="s">
        <v>2282</v>
      </c>
      <c r="B1096" s="80" t="s">
        <v>2347</v>
      </c>
      <c r="C1096" s="80">
        <v>8</v>
      </c>
      <c r="D1096" s="104">
        <v>0.0034415441048944264</v>
      </c>
      <c r="E1096" s="104">
        <v>2.288361027472952</v>
      </c>
      <c r="F1096" s="80" t="s">
        <v>2185</v>
      </c>
      <c r="G1096" s="80" t="b">
        <v>0</v>
      </c>
      <c r="H1096" s="80" t="b">
        <v>0</v>
      </c>
      <c r="I1096" s="80" t="b">
        <v>0</v>
      </c>
      <c r="J1096" s="80" t="b">
        <v>0</v>
      </c>
      <c r="K1096" s="80" t="b">
        <v>0</v>
      </c>
      <c r="L1096" s="80" t="b">
        <v>0</v>
      </c>
    </row>
    <row r="1097" spans="1:12" ht="15">
      <c r="A1097" s="81" t="s">
        <v>2217</v>
      </c>
      <c r="B1097" s="80" t="s">
        <v>2213</v>
      </c>
      <c r="C1097" s="80">
        <v>7</v>
      </c>
      <c r="D1097" s="104">
        <v>0.00258009229263679</v>
      </c>
      <c r="E1097" s="104">
        <v>1.1702617153949573</v>
      </c>
      <c r="F1097" s="80" t="s">
        <v>2185</v>
      </c>
      <c r="G1097" s="80" t="b">
        <v>0</v>
      </c>
      <c r="H1097" s="80" t="b">
        <v>0</v>
      </c>
      <c r="I1097" s="80" t="b">
        <v>0</v>
      </c>
      <c r="J1097" s="80" t="b">
        <v>0</v>
      </c>
      <c r="K1097" s="80" t="b">
        <v>0</v>
      </c>
      <c r="L1097" s="80" t="b">
        <v>0</v>
      </c>
    </row>
    <row r="1098" spans="1:12" ht="15">
      <c r="A1098" s="81" t="s">
        <v>2218</v>
      </c>
      <c r="B1098" s="80" t="s">
        <v>2218</v>
      </c>
      <c r="C1098" s="80">
        <v>7</v>
      </c>
      <c r="D1098" s="104">
        <v>0.001929808599218058</v>
      </c>
      <c r="E1098" s="104">
        <v>1.35170369283474</v>
      </c>
      <c r="F1098" s="80" t="s">
        <v>2185</v>
      </c>
      <c r="G1098" s="80" t="b">
        <v>0</v>
      </c>
      <c r="H1098" s="80" t="b">
        <v>0</v>
      </c>
      <c r="I1098" s="80" t="b">
        <v>0</v>
      </c>
      <c r="J1098" s="80" t="b">
        <v>0</v>
      </c>
      <c r="K1098" s="80" t="b">
        <v>0</v>
      </c>
      <c r="L1098" s="80" t="b">
        <v>0</v>
      </c>
    </row>
    <row r="1099" spans="1:12" ht="15">
      <c r="A1099" s="81" t="s">
        <v>2248</v>
      </c>
      <c r="B1099" s="80" t="s">
        <v>2332</v>
      </c>
      <c r="C1099" s="80">
        <v>6</v>
      </c>
      <c r="D1099" s="104">
        <v>0.002211507679402963</v>
      </c>
      <c r="E1099" s="104">
        <v>1.7391533434702653</v>
      </c>
      <c r="F1099" s="80" t="s">
        <v>2185</v>
      </c>
      <c r="G1099" s="80" t="b">
        <v>0</v>
      </c>
      <c r="H1099" s="80" t="b">
        <v>0</v>
      </c>
      <c r="I1099" s="80" t="b">
        <v>0</v>
      </c>
      <c r="J1099" s="80" t="b">
        <v>0</v>
      </c>
      <c r="K1099" s="80" t="b">
        <v>0</v>
      </c>
      <c r="L1099" s="80" t="b">
        <v>0</v>
      </c>
    </row>
    <row r="1100" spans="1:12" ht="15">
      <c r="A1100" s="81" t="s">
        <v>2223</v>
      </c>
      <c r="B1100" s="80" t="s">
        <v>2269</v>
      </c>
      <c r="C1100" s="80">
        <v>5</v>
      </c>
      <c r="D1100" s="104">
        <v>0.0025481002741041528</v>
      </c>
      <c r="E1100" s="104">
        <v>1.672937074587008</v>
      </c>
      <c r="F1100" s="80" t="s">
        <v>2185</v>
      </c>
      <c r="G1100" s="80" t="b">
        <v>0</v>
      </c>
      <c r="H1100" s="80" t="b">
        <v>0</v>
      </c>
      <c r="I1100" s="80" t="b">
        <v>0</v>
      </c>
      <c r="J1100" s="80" t="b">
        <v>0</v>
      </c>
      <c r="K1100" s="80" t="b">
        <v>0</v>
      </c>
      <c r="L1100" s="80" t="b">
        <v>0</v>
      </c>
    </row>
    <row r="1101" spans="1:12" ht="15">
      <c r="A1101" s="81" t="s">
        <v>2221</v>
      </c>
      <c r="B1101" s="80" t="s">
        <v>2275</v>
      </c>
      <c r="C1101" s="80">
        <v>5</v>
      </c>
      <c r="D1101" s="104">
        <v>0.0021509650655590165</v>
      </c>
      <c r="E1101" s="104">
        <v>1.8112397727532894</v>
      </c>
      <c r="F1101" s="80" t="s">
        <v>2185</v>
      </c>
      <c r="G1101" s="80" t="b">
        <v>0</v>
      </c>
      <c r="H1101" s="80" t="b">
        <v>0</v>
      </c>
      <c r="I1101" s="80" t="b">
        <v>0</v>
      </c>
      <c r="J1101" s="80" t="b">
        <v>0</v>
      </c>
      <c r="K1101" s="80" t="b">
        <v>0</v>
      </c>
      <c r="L1101" s="80" t="b">
        <v>0</v>
      </c>
    </row>
    <row r="1102" spans="1:12" ht="15">
      <c r="A1102" s="81" t="s">
        <v>2228</v>
      </c>
      <c r="B1102" s="80" t="s">
        <v>2297</v>
      </c>
      <c r="C1102" s="80">
        <v>5</v>
      </c>
      <c r="D1102" s="104">
        <v>0.004064696760816367</v>
      </c>
      <c r="E1102" s="104">
        <v>1.7665693778338285</v>
      </c>
      <c r="F1102" s="80" t="s">
        <v>2185</v>
      </c>
      <c r="G1102" s="80" t="b">
        <v>0</v>
      </c>
      <c r="H1102" s="80" t="b">
        <v>0</v>
      </c>
      <c r="I1102" s="80" t="b">
        <v>0</v>
      </c>
      <c r="J1102" s="80" t="b">
        <v>0</v>
      </c>
      <c r="K1102" s="80" t="b">
        <v>0</v>
      </c>
      <c r="L1102" s="80" t="b">
        <v>0</v>
      </c>
    </row>
    <row r="1103" spans="1:12" ht="15">
      <c r="A1103" s="81" t="s">
        <v>2271</v>
      </c>
      <c r="B1103" s="80" t="s">
        <v>2217</v>
      </c>
      <c r="C1103" s="80">
        <v>5</v>
      </c>
      <c r="D1103" s="104">
        <v>0.0021509650655590165</v>
      </c>
      <c r="E1103" s="104">
        <v>1.8490283336426891</v>
      </c>
      <c r="F1103" s="80" t="s">
        <v>2185</v>
      </c>
      <c r="G1103" s="80" t="b">
        <v>0</v>
      </c>
      <c r="H1103" s="80" t="b">
        <v>0</v>
      </c>
      <c r="I1103" s="80" t="b">
        <v>0</v>
      </c>
      <c r="J1103" s="80" t="b">
        <v>0</v>
      </c>
      <c r="K1103" s="80" t="b">
        <v>0</v>
      </c>
      <c r="L1103" s="80" t="b">
        <v>0</v>
      </c>
    </row>
    <row r="1104" spans="1:12" ht="15">
      <c r="A1104" s="81" t="s">
        <v>2365</v>
      </c>
      <c r="B1104" s="80" t="s">
        <v>2223</v>
      </c>
      <c r="C1104" s="80">
        <v>5</v>
      </c>
      <c r="D1104" s="104">
        <v>0.0025481002741041528</v>
      </c>
      <c r="E1104" s="104">
        <v>1.672937074587008</v>
      </c>
      <c r="F1104" s="80" t="s">
        <v>2185</v>
      </c>
      <c r="G1104" s="80" t="b">
        <v>0</v>
      </c>
      <c r="H1104" s="80" t="b">
        <v>0</v>
      </c>
      <c r="I1104" s="80" t="b">
        <v>0</v>
      </c>
      <c r="J1104" s="80" t="b">
        <v>0</v>
      </c>
      <c r="K1104" s="80" t="b">
        <v>0</v>
      </c>
      <c r="L1104" s="80" t="b">
        <v>0</v>
      </c>
    </row>
    <row r="1105" spans="1:12" ht="15">
      <c r="A1105" s="81" t="s">
        <v>2294</v>
      </c>
      <c r="B1105" s="80" t="s">
        <v>2233</v>
      </c>
      <c r="C1105" s="80">
        <v>5</v>
      </c>
      <c r="D1105" s="104">
        <v>0.001842923066169136</v>
      </c>
      <c r="E1105" s="104">
        <v>1.998326416110434</v>
      </c>
      <c r="F1105" s="80" t="s">
        <v>2185</v>
      </c>
      <c r="G1105" s="80" t="b">
        <v>0</v>
      </c>
      <c r="H1105" s="80" t="b">
        <v>0</v>
      </c>
      <c r="I1105" s="80" t="b">
        <v>0</v>
      </c>
      <c r="J1105" s="80" t="b">
        <v>0</v>
      </c>
      <c r="K1105" s="80" t="b">
        <v>0</v>
      </c>
      <c r="L1105" s="80" t="b">
        <v>0</v>
      </c>
    </row>
    <row r="1106" spans="1:12" ht="15">
      <c r="A1106" s="81" t="s">
        <v>2218</v>
      </c>
      <c r="B1106" s="80" t="s">
        <v>2257</v>
      </c>
      <c r="C1106" s="80">
        <v>5</v>
      </c>
      <c r="D1106" s="104">
        <v>0.001842923066169136</v>
      </c>
      <c r="E1106" s="104">
        <v>1.8490283336426891</v>
      </c>
      <c r="F1106" s="80" t="s">
        <v>2185</v>
      </c>
      <c r="G1106" s="80" t="b">
        <v>0</v>
      </c>
      <c r="H1106" s="80" t="b">
        <v>0</v>
      </c>
      <c r="I1106" s="80" t="b">
        <v>0</v>
      </c>
      <c r="J1106" s="80" t="b">
        <v>0</v>
      </c>
      <c r="K1106" s="80" t="b">
        <v>0</v>
      </c>
      <c r="L1106" s="80" t="b">
        <v>0</v>
      </c>
    </row>
    <row r="1107" spans="1:12" ht="15">
      <c r="A1107" s="81" t="s">
        <v>2502</v>
      </c>
      <c r="B1107" s="80" t="s">
        <v>2303</v>
      </c>
      <c r="C1107" s="80">
        <v>4</v>
      </c>
      <c r="D1107" s="104">
        <v>0.0017207720524472132</v>
      </c>
      <c r="E1107" s="104">
        <v>2.4924810101288766</v>
      </c>
      <c r="F1107" s="80" t="s">
        <v>2185</v>
      </c>
      <c r="G1107" s="80" t="b">
        <v>0</v>
      </c>
      <c r="H1107" s="80" t="b">
        <v>0</v>
      </c>
      <c r="I1107" s="80" t="b">
        <v>0</v>
      </c>
      <c r="J1107" s="80" t="b">
        <v>0</v>
      </c>
      <c r="K1107" s="80" t="b">
        <v>0</v>
      </c>
      <c r="L1107" s="80" t="b">
        <v>0</v>
      </c>
    </row>
    <row r="1108" spans="1:12" ht="15">
      <c r="A1108" s="81" t="s">
        <v>2301</v>
      </c>
      <c r="B1108" s="80" t="s">
        <v>2384</v>
      </c>
      <c r="C1108" s="80">
        <v>4</v>
      </c>
      <c r="D1108" s="104">
        <v>0.0017207720524472132</v>
      </c>
      <c r="E1108" s="104">
        <v>2.288361027472952</v>
      </c>
      <c r="F1108" s="80" t="s">
        <v>2185</v>
      </c>
      <c r="G1108" s="80" t="b">
        <v>0</v>
      </c>
      <c r="H1108" s="80" t="b">
        <v>0</v>
      </c>
      <c r="I1108" s="80" t="b">
        <v>0</v>
      </c>
      <c r="J1108" s="80" t="b">
        <v>0</v>
      </c>
      <c r="K1108" s="80" t="b">
        <v>0</v>
      </c>
      <c r="L1108" s="80" t="b">
        <v>0</v>
      </c>
    </row>
    <row r="1109" spans="1:12" ht="15">
      <c r="A1109" s="81" t="s">
        <v>2214</v>
      </c>
      <c r="B1109" s="80" t="s">
        <v>2242</v>
      </c>
      <c r="C1109" s="80">
        <v>4</v>
      </c>
      <c r="D1109" s="104">
        <v>0.0017207720524472132</v>
      </c>
      <c r="E1109" s="104">
        <v>1.2336043807567454</v>
      </c>
      <c r="F1109" s="80" t="s">
        <v>2185</v>
      </c>
      <c r="G1109" s="80" t="b">
        <v>0</v>
      </c>
      <c r="H1109" s="80" t="b">
        <v>0</v>
      </c>
      <c r="I1109" s="80" t="b">
        <v>0</v>
      </c>
      <c r="J1109" s="80" t="b">
        <v>0</v>
      </c>
      <c r="K1109" s="80" t="b">
        <v>0</v>
      </c>
      <c r="L1109" s="80" t="b">
        <v>0</v>
      </c>
    </row>
    <row r="1110" spans="1:12" ht="15">
      <c r="A1110" s="81" t="s">
        <v>2341</v>
      </c>
      <c r="B1110" s="80" t="s">
        <v>2318</v>
      </c>
      <c r="C1110" s="80">
        <v>4</v>
      </c>
      <c r="D1110" s="104">
        <v>0.0017207720524472132</v>
      </c>
      <c r="E1110" s="104">
        <v>2.0453229787866576</v>
      </c>
      <c r="F1110" s="80" t="s">
        <v>2185</v>
      </c>
      <c r="G1110" s="80" t="b">
        <v>0</v>
      </c>
      <c r="H1110" s="80" t="b">
        <v>0</v>
      </c>
      <c r="I1110" s="80" t="b">
        <v>0</v>
      </c>
      <c r="J1110" s="80" t="b">
        <v>0</v>
      </c>
      <c r="K1110" s="80" t="b">
        <v>0</v>
      </c>
      <c r="L1110" s="80" t="b">
        <v>0</v>
      </c>
    </row>
    <row r="1111" spans="1:12" ht="15">
      <c r="A1111" s="81" t="s">
        <v>2499</v>
      </c>
      <c r="B1111" s="80" t="s">
        <v>2453</v>
      </c>
      <c r="C1111" s="80">
        <v>4</v>
      </c>
      <c r="D1111" s="104">
        <v>0.0017207720524472132</v>
      </c>
      <c r="E1111" s="104">
        <v>2.4924810101288766</v>
      </c>
      <c r="F1111" s="80" t="s">
        <v>2185</v>
      </c>
      <c r="G1111" s="80" t="b">
        <v>0</v>
      </c>
      <c r="H1111" s="80" t="b">
        <v>0</v>
      </c>
      <c r="I1111" s="80" t="b">
        <v>0</v>
      </c>
      <c r="J1111" s="80" t="b">
        <v>0</v>
      </c>
      <c r="K1111" s="80" t="b">
        <v>0</v>
      </c>
      <c r="L1111" s="80" t="b">
        <v>0</v>
      </c>
    </row>
    <row r="1112" spans="1:12" ht="15">
      <c r="A1112" s="81" t="s">
        <v>2518</v>
      </c>
      <c r="B1112" s="80" t="s">
        <v>2304</v>
      </c>
      <c r="C1112" s="80">
        <v>4</v>
      </c>
      <c r="D1112" s="104">
        <v>0.0017207720524472132</v>
      </c>
      <c r="E1112" s="104">
        <v>2.5893910231369333</v>
      </c>
      <c r="F1112" s="80" t="s">
        <v>2185</v>
      </c>
      <c r="G1112" s="80" t="b">
        <v>0</v>
      </c>
      <c r="H1112" s="80" t="b">
        <v>0</v>
      </c>
      <c r="I1112" s="80" t="b">
        <v>0</v>
      </c>
      <c r="J1112" s="80" t="b">
        <v>0</v>
      </c>
      <c r="K1112" s="80" t="b">
        <v>0</v>
      </c>
      <c r="L1112" s="80" t="b">
        <v>0</v>
      </c>
    </row>
    <row r="1113" spans="1:12" ht="15">
      <c r="A1113" s="81" t="s">
        <v>2242</v>
      </c>
      <c r="B1113" s="80" t="s">
        <v>2286</v>
      </c>
      <c r="C1113" s="80">
        <v>4</v>
      </c>
      <c r="D1113" s="104">
        <v>0.0017207720524472132</v>
      </c>
      <c r="E1113" s="104">
        <v>1.973967070250989</v>
      </c>
      <c r="F1113" s="80" t="s">
        <v>2185</v>
      </c>
      <c r="G1113" s="80" t="b">
        <v>0</v>
      </c>
      <c r="H1113" s="80" t="b">
        <v>0</v>
      </c>
      <c r="I1113" s="80" t="b">
        <v>0</v>
      </c>
      <c r="J1113" s="80" t="b">
        <v>0</v>
      </c>
      <c r="K1113" s="80" t="b">
        <v>0</v>
      </c>
      <c r="L1113" s="80" t="b">
        <v>0</v>
      </c>
    </row>
    <row r="1114" spans="1:12" ht="15">
      <c r="A1114" s="81" t="s">
        <v>2523</v>
      </c>
      <c r="B1114" s="80" t="s">
        <v>2226</v>
      </c>
      <c r="C1114" s="80">
        <v>4</v>
      </c>
      <c r="D1114" s="104">
        <v>0.0017207720524472132</v>
      </c>
      <c r="E1114" s="104">
        <v>2.2372085050255706</v>
      </c>
      <c r="F1114" s="80" t="s">
        <v>2185</v>
      </c>
      <c r="G1114" s="80" t="b">
        <v>0</v>
      </c>
      <c r="H1114" s="80" t="b">
        <v>0</v>
      </c>
      <c r="I1114" s="80" t="b">
        <v>0</v>
      </c>
      <c r="J1114" s="80" t="b">
        <v>0</v>
      </c>
      <c r="K1114" s="80" t="b">
        <v>0</v>
      </c>
      <c r="L1114" s="80" t="b">
        <v>0</v>
      </c>
    </row>
    <row r="1115" spans="1:12" ht="15">
      <c r="A1115" s="81" t="s">
        <v>2527</v>
      </c>
      <c r="B1115" s="80" t="s">
        <v>2557</v>
      </c>
      <c r="C1115" s="80">
        <v>4</v>
      </c>
      <c r="D1115" s="104">
        <v>0.0017207720524472132</v>
      </c>
      <c r="E1115" s="104">
        <v>2.5893910231369333</v>
      </c>
      <c r="F1115" s="80" t="s">
        <v>2185</v>
      </c>
      <c r="G1115" s="80" t="b">
        <v>0</v>
      </c>
      <c r="H1115" s="80" t="b">
        <v>0</v>
      </c>
      <c r="I1115" s="80" t="b">
        <v>0</v>
      </c>
      <c r="J1115" s="80" t="b">
        <v>0</v>
      </c>
      <c r="K1115" s="80" t="b">
        <v>0</v>
      </c>
      <c r="L1115" s="80" t="b">
        <v>0</v>
      </c>
    </row>
    <row r="1116" spans="1:12" ht="15">
      <c r="A1116" s="81" t="s">
        <v>2215</v>
      </c>
      <c r="B1116" s="80" t="s">
        <v>2294</v>
      </c>
      <c r="C1116" s="80">
        <v>4</v>
      </c>
      <c r="D1116" s="104">
        <v>0.0017207720524472132</v>
      </c>
      <c r="E1116" s="104">
        <v>1.869231719730976</v>
      </c>
      <c r="F1116" s="80" t="s">
        <v>2185</v>
      </c>
      <c r="G1116" s="80" t="b">
        <v>0</v>
      </c>
      <c r="H1116" s="80" t="b">
        <v>0</v>
      </c>
      <c r="I1116" s="80" t="b">
        <v>0</v>
      </c>
      <c r="J1116" s="80" t="b">
        <v>0</v>
      </c>
      <c r="K1116" s="80" t="b">
        <v>0</v>
      </c>
      <c r="L1116" s="80" t="b">
        <v>0</v>
      </c>
    </row>
    <row r="1117" spans="1:12" ht="15">
      <c r="A1117" s="81" t="s">
        <v>2226</v>
      </c>
      <c r="B1117" s="80" t="s">
        <v>2232</v>
      </c>
      <c r="C1117" s="80">
        <v>4</v>
      </c>
      <c r="D1117" s="104">
        <v>0.0017207720524472132</v>
      </c>
      <c r="E1117" s="104">
        <v>1.9361785093615893</v>
      </c>
      <c r="F1117" s="80" t="s">
        <v>2185</v>
      </c>
      <c r="G1117" s="80" t="b">
        <v>0</v>
      </c>
      <c r="H1117" s="80" t="b">
        <v>0</v>
      </c>
      <c r="I1117" s="80" t="b">
        <v>0</v>
      </c>
      <c r="J1117" s="80" t="b">
        <v>0</v>
      </c>
      <c r="K1117" s="80" t="b">
        <v>0</v>
      </c>
      <c r="L1117" s="80" t="b">
        <v>0</v>
      </c>
    </row>
    <row r="1118" spans="1:12" ht="15">
      <c r="A1118" s="81" t="s">
        <v>2355</v>
      </c>
      <c r="B1118" s="80" t="s">
        <v>2215</v>
      </c>
      <c r="C1118" s="80">
        <v>4</v>
      </c>
      <c r="D1118" s="104">
        <v>0.0017207720524472132</v>
      </c>
      <c r="E1118" s="104">
        <v>2.0453229787866576</v>
      </c>
      <c r="F1118" s="80" t="s">
        <v>2185</v>
      </c>
      <c r="G1118" s="80" t="b">
        <v>0</v>
      </c>
      <c r="H1118" s="80" t="b">
        <v>0</v>
      </c>
      <c r="I1118" s="80" t="b">
        <v>0</v>
      </c>
      <c r="J1118" s="80" t="b">
        <v>0</v>
      </c>
      <c r="K1118" s="80" t="b">
        <v>0</v>
      </c>
      <c r="L1118" s="80" t="b">
        <v>0</v>
      </c>
    </row>
    <row r="1119" spans="1:12" ht="15">
      <c r="A1119" s="81" t="s">
        <v>2257</v>
      </c>
      <c r="B1119" s="80" t="s">
        <v>2218</v>
      </c>
      <c r="C1119" s="80">
        <v>4</v>
      </c>
      <c r="D1119" s="104">
        <v>0.0017207720524472132</v>
      </c>
      <c r="E1119" s="104">
        <v>1.752118320634633</v>
      </c>
      <c r="F1119" s="80" t="s">
        <v>2185</v>
      </c>
      <c r="G1119" s="80" t="b">
        <v>0</v>
      </c>
      <c r="H1119" s="80" t="b">
        <v>0</v>
      </c>
      <c r="I1119" s="80" t="b">
        <v>0</v>
      </c>
      <c r="J1119" s="80" t="b">
        <v>0</v>
      </c>
      <c r="K1119" s="80" t="b">
        <v>0</v>
      </c>
      <c r="L1119" s="80" t="b">
        <v>0</v>
      </c>
    </row>
    <row r="1120" spans="1:12" ht="15">
      <c r="A1120" s="81" t="s">
        <v>2453</v>
      </c>
      <c r="B1120" s="80" t="s">
        <v>2526</v>
      </c>
      <c r="C1120" s="80">
        <v>4</v>
      </c>
      <c r="D1120" s="104">
        <v>0.0017207720524472132</v>
      </c>
      <c r="E1120" s="104">
        <v>2.4924810101288766</v>
      </c>
      <c r="F1120" s="80" t="s">
        <v>2185</v>
      </c>
      <c r="G1120" s="80" t="b">
        <v>0</v>
      </c>
      <c r="H1120" s="80" t="b">
        <v>0</v>
      </c>
      <c r="I1120" s="80" t="b">
        <v>0</v>
      </c>
      <c r="J1120" s="80" t="b">
        <v>0</v>
      </c>
      <c r="K1120" s="80" t="b">
        <v>0</v>
      </c>
      <c r="L1120" s="80" t="b">
        <v>0</v>
      </c>
    </row>
    <row r="1121" spans="1:12" ht="15">
      <c r="A1121" s="81" t="s">
        <v>2304</v>
      </c>
      <c r="B1121" s="80" t="s">
        <v>2281</v>
      </c>
      <c r="C1121" s="80">
        <v>4</v>
      </c>
      <c r="D1121" s="104">
        <v>0.0017207720524472132</v>
      </c>
      <c r="E1121" s="104">
        <v>2.5893910231369333</v>
      </c>
      <c r="F1121" s="80" t="s">
        <v>2185</v>
      </c>
      <c r="G1121" s="80" t="b">
        <v>0</v>
      </c>
      <c r="H1121" s="80" t="b">
        <v>0</v>
      </c>
      <c r="I1121" s="80" t="b">
        <v>0</v>
      </c>
      <c r="J1121" s="80" t="b">
        <v>0</v>
      </c>
      <c r="K1121" s="80" t="b">
        <v>0</v>
      </c>
      <c r="L1121" s="80" t="b">
        <v>0</v>
      </c>
    </row>
    <row r="1122" spans="1:12" ht="15">
      <c r="A1122" s="81" t="s">
        <v>2232</v>
      </c>
      <c r="B1122" s="80" t="s">
        <v>2295</v>
      </c>
      <c r="C1122" s="80">
        <v>4</v>
      </c>
      <c r="D1122" s="104">
        <v>0.0017207720524472132</v>
      </c>
      <c r="E1122" s="104">
        <v>1.9361785093615893</v>
      </c>
      <c r="F1122" s="80" t="s">
        <v>2185</v>
      </c>
      <c r="G1122" s="80" t="b">
        <v>0</v>
      </c>
      <c r="H1122" s="80" t="b">
        <v>0</v>
      </c>
      <c r="I1122" s="80" t="b">
        <v>0</v>
      </c>
      <c r="J1122" s="80" t="b">
        <v>0</v>
      </c>
      <c r="K1122" s="80" t="b">
        <v>0</v>
      </c>
      <c r="L1122" s="80" t="b">
        <v>0</v>
      </c>
    </row>
    <row r="1123" spans="1:12" ht="15">
      <c r="A1123" s="81" t="s">
        <v>2249</v>
      </c>
      <c r="B1123" s="80" t="s">
        <v>2518</v>
      </c>
      <c r="C1123" s="80">
        <v>4</v>
      </c>
      <c r="D1123" s="104">
        <v>0.0017207720524472132</v>
      </c>
      <c r="E1123" s="104">
        <v>2.346352974450639</v>
      </c>
      <c r="F1123" s="80" t="s">
        <v>2185</v>
      </c>
      <c r="G1123" s="80" t="b">
        <v>0</v>
      </c>
      <c r="H1123" s="80" t="b">
        <v>0</v>
      </c>
      <c r="I1123" s="80" t="b">
        <v>0</v>
      </c>
      <c r="J1123" s="80" t="b">
        <v>0</v>
      </c>
      <c r="K1123" s="80" t="b">
        <v>0</v>
      </c>
      <c r="L1123" s="80" t="b">
        <v>0</v>
      </c>
    </row>
    <row r="1124" spans="1:12" ht="15">
      <c r="A1124" s="81" t="s">
        <v>2287</v>
      </c>
      <c r="B1124" s="80" t="s">
        <v>2537</v>
      </c>
      <c r="C1124" s="80">
        <v>4</v>
      </c>
      <c r="D1124" s="104">
        <v>0.0017207720524472132</v>
      </c>
      <c r="E1124" s="104">
        <v>2.413299764081252</v>
      </c>
      <c r="F1124" s="80" t="s">
        <v>2185</v>
      </c>
      <c r="G1124" s="80" t="b">
        <v>0</v>
      </c>
      <c r="H1124" s="80" t="b">
        <v>0</v>
      </c>
      <c r="I1124" s="80" t="b">
        <v>0</v>
      </c>
      <c r="J1124" s="80" t="b">
        <v>0</v>
      </c>
      <c r="K1124" s="80" t="b">
        <v>0</v>
      </c>
      <c r="L1124" s="80" t="b">
        <v>0</v>
      </c>
    </row>
    <row r="1125" spans="1:12" ht="15">
      <c r="A1125" s="81" t="s">
        <v>2533</v>
      </c>
      <c r="B1125" s="80" t="s">
        <v>2531</v>
      </c>
      <c r="C1125" s="80">
        <v>4</v>
      </c>
      <c r="D1125" s="104">
        <v>0.0017207720524472132</v>
      </c>
      <c r="E1125" s="104">
        <v>2.5893910231369333</v>
      </c>
      <c r="F1125" s="80" t="s">
        <v>2185</v>
      </c>
      <c r="G1125" s="80" t="b">
        <v>0</v>
      </c>
      <c r="H1125" s="80" t="b">
        <v>0</v>
      </c>
      <c r="I1125" s="80" t="b">
        <v>0</v>
      </c>
      <c r="J1125" s="80" t="b">
        <v>0</v>
      </c>
      <c r="K1125" s="80" t="b">
        <v>0</v>
      </c>
      <c r="L1125" s="80" t="b">
        <v>0</v>
      </c>
    </row>
    <row r="1126" spans="1:12" ht="15">
      <c r="A1126" s="81" t="s">
        <v>2553</v>
      </c>
      <c r="B1126" s="80" t="s">
        <v>2540</v>
      </c>
      <c r="C1126" s="80">
        <v>4</v>
      </c>
      <c r="D1126" s="104">
        <v>0.0017207720524472132</v>
      </c>
      <c r="E1126" s="104">
        <v>2.5893910231369333</v>
      </c>
      <c r="F1126" s="80" t="s">
        <v>2185</v>
      </c>
      <c r="G1126" s="80" t="b">
        <v>0</v>
      </c>
      <c r="H1126" s="80" t="b">
        <v>0</v>
      </c>
      <c r="I1126" s="80" t="b">
        <v>0</v>
      </c>
      <c r="J1126" s="80" t="b">
        <v>0</v>
      </c>
      <c r="K1126" s="80" t="b">
        <v>0</v>
      </c>
      <c r="L1126" s="80" t="b">
        <v>0</v>
      </c>
    </row>
    <row r="1127" spans="1:12" ht="15">
      <c r="A1127" s="81" t="s">
        <v>2569</v>
      </c>
      <c r="B1127" s="80" t="s">
        <v>2550</v>
      </c>
      <c r="C1127" s="80">
        <v>4</v>
      </c>
      <c r="D1127" s="104">
        <v>0.0017207720524472132</v>
      </c>
      <c r="E1127" s="104">
        <v>2.5893910231369333</v>
      </c>
      <c r="F1127" s="80" t="s">
        <v>2185</v>
      </c>
      <c r="G1127" s="80" t="b">
        <v>0</v>
      </c>
      <c r="H1127" s="80" t="b">
        <v>0</v>
      </c>
      <c r="I1127" s="80" t="b">
        <v>0</v>
      </c>
      <c r="J1127" s="80" t="b">
        <v>0</v>
      </c>
      <c r="K1127" s="80" t="b">
        <v>0</v>
      </c>
      <c r="L1127" s="80" t="b">
        <v>0</v>
      </c>
    </row>
    <row r="1128" spans="1:12" ht="15">
      <c r="A1128" s="81" t="s">
        <v>2295</v>
      </c>
      <c r="B1128" s="80" t="s">
        <v>2554</v>
      </c>
      <c r="C1128" s="80">
        <v>4</v>
      </c>
      <c r="D1128" s="104">
        <v>0.0017207720524472132</v>
      </c>
      <c r="E1128" s="104">
        <v>2.2372085050255706</v>
      </c>
      <c r="F1128" s="80" t="s">
        <v>2185</v>
      </c>
      <c r="G1128" s="80" t="b">
        <v>0</v>
      </c>
      <c r="H1128" s="80" t="b">
        <v>0</v>
      </c>
      <c r="I1128" s="80" t="b">
        <v>0</v>
      </c>
      <c r="J1128" s="80" t="b">
        <v>1</v>
      </c>
      <c r="K1128" s="80" t="b">
        <v>0</v>
      </c>
      <c r="L1128" s="80" t="b">
        <v>0</v>
      </c>
    </row>
    <row r="1129" spans="1:12" ht="15">
      <c r="A1129" s="81" t="s">
        <v>2341</v>
      </c>
      <c r="B1129" s="80" t="s">
        <v>2553</v>
      </c>
      <c r="C1129" s="80">
        <v>4</v>
      </c>
      <c r="D1129" s="104">
        <v>0.0017207720524472132</v>
      </c>
      <c r="E1129" s="104">
        <v>2.288361027472952</v>
      </c>
      <c r="F1129" s="80" t="s">
        <v>2185</v>
      </c>
      <c r="G1129" s="80" t="b">
        <v>0</v>
      </c>
      <c r="H1129" s="80" t="b">
        <v>0</v>
      </c>
      <c r="I1129" s="80" t="b">
        <v>0</v>
      </c>
      <c r="J1129" s="80" t="b">
        <v>0</v>
      </c>
      <c r="K1129" s="80" t="b">
        <v>0</v>
      </c>
      <c r="L1129" s="80" t="b">
        <v>0</v>
      </c>
    </row>
    <row r="1130" spans="1:12" ht="15">
      <c r="A1130" s="81" t="s">
        <v>2296</v>
      </c>
      <c r="B1130" s="80" t="s">
        <v>2341</v>
      </c>
      <c r="C1130" s="80">
        <v>4</v>
      </c>
      <c r="D1130" s="104">
        <v>0.0017207720524472132</v>
      </c>
      <c r="E1130" s="104">
        <v>2.1914510144648958</v>
      </c>
      <c r="F1130" s="80" t="s">
        <v>2185</v>
      </c>
      <c r="G1130" s="80" t="b">
        <v>0</v>
      </c>
      <c r="H1130" s="80" t="b">
        <v>0</v>
      </c>
      <c r="I1130" s="80" t="b">
        <v>0</v>
      </c>
      <c r="J1130" s="80" t="b">
        <v>0</v>
      </c>
      <c r="K1130" s="80" t="b">
        <v>0</v>
      </c>
      <c r="L1130" s="80" t="b">
        <v>0</v>
      </c>
    </row>
    <row r="1131" spans="1:12" ht="15">
      <c r="A1131" s="81" t="s">
        <v>2283</v>
      </c>
      <c r="B1131" s="80" t="s">
        <v>2309</v>
      </c>
      <c r="C1131" s="80">
        <v>4</v>
      </c>
      <c r="D1131" s="104">
        <v>0.0017207720524472132</v>
      </c>
      <c r="E1131" s="104">
        <v>2.413299764081252</v>
      </c>
      <c r="F1131" s="80" t="s">
        <v>2185</v>
      </c>
      <c r="G1131" s="80" t="b">
        <v>0</v>
      </c>
      <c r="H1131" s="80" t="b">
        <v>0</v>
      </c>
      <c r="I1131" s="80" t="b">
        <v>0</v>
      </c>
      <c r="J1131" s="80" t="b">
        <v>0</v>
      </c>
      <c r="K1131" s="80" t="b">
        <v>0</v>
      </c>
      <c r="L1131" s="80" t="b">
        <v>0</v>
      </c>
    </row>
    <row r="1132" spans="1:12" ht="15">
      <c r="A1132" s="81" t="s">
        <v>2522</v>
      </c>
      <c r="B1132" s="80" t="s">
        <v>2287</v>
      </c>
      <c r="C1132" s="80">
        <v>4</v>
      </c>
      <c r="D1132" s="104">
        <v>0.0017207720524472132</v>
      </c>
      <c r="E1132" s="104">
        <v>2.413299764081252</v>
      </c>
      <c r="F1132" s="80" t="s">
        <v>2185</v>
      </c>
      <c r="G1132" s="80" t="b">
        <v>0</v>
      </c>
      <c r="H1132" s="80" t="b">
        <v>0</v>
      </c>
      <c r="I1132" s="80" t="b">
        <v>0</v>
      </c>
      <c r="J1132" s="80" t="b">
        <v>0</v>
      </c>
      <c r="K1132" s="80" t="b">
        <v>0</v>
      </c>
      <c r="L1132" s="80" t="b">
        <v>0</v>
      </c>
    </row>
    <row r="1133" spans="1:12" ht="15">
      <c r="A1133" s="81" t="s">
        <v>2223</v>
      </c>
      <c r="B1133" s="80" t="s">
        <v>2248</v>
      </c>
      <c r="C1133" s="80">
        <v>4</v>
      </c>
      <c r="D1133" s="104">
        <v>0.002486264730550153</v>
      </c>
      <c r="E1133" s="104">
        <v>1.0445481445366964</v>
      </c>
      <c r="F1133" s="80" t="s">
        <v>2185</v>
      </c>
      <c r="G1133" s="80" t="b">
        <v>0</v>
      </c>
      <c r="H1133" s="80" t="b">
        <v>0</v>
      </c>
      <c r="I1133" s="80" t="b">
        <v>0</v>
      </c>
      <c r="J1133" s="80" t="b">
        <v>0</v>
      </c>
      <c r="K1133" s="80" t="b">
        <v>0</v>
      </c>
      <c r="L1133" s="80" t="b">
        <v>0</v>
      </c>
    </row>
    <row r="1134" spans="1:12" ht="15">
      <c r="A1134" s="81" t="s">
        <v>2301</v>
      </c>
      <c r="B1134" s="80" t="s">
        <v>2558</v>
      </c>
      <c r="C1134" s="80">
        <v>4</v>
      </c>
      <c r="D1134" s="104">
        <v>0.0017207720524472132</v>
      </c>
      <c r="E1134" s="104">
        <v>2.288361027472952</v>
      </c>
      <c r="F1134" s="80" t="s">
        <v>2185</v>
      </c>
      <c r="G1134" s="80" t="b">
        <v>0</v>
      </c>
      <c r="H1134" s="80" t="b">
        <v>0</v>
      </c>
      <c r="I1134" s="80" t="b">
        <v>0</v>
      </c>
      <c r="J1134" s="80" t="b">
        <v>0</v>
      </c>
      <c r="K1134" s="80" t="b">
        <v>0</v>
      </c>
      <c r="L1134" s="80" t="b">
        <v>0</v>
      </c>
    </row>
    <row r="1135" spans="1:12" ht="15">
      <c r="A1135" s="81" t="s">
        <v>2347</v>
      </c>
      <c r="B1135" s="80" t="s">
        <v>2305</v>
      </c>
      <c r="C1135" s="80">
        <v>4</v>
      </c>
      <c r="D1135" s="104">
        <v>0.0017207720524472132</v>
      </c>
      <c r="E1135" s="104">
        <v>2.288361027472952</v>
      </c>
      <c r="F1135" s="80" t="s">
        <v>2185</v>
      </c>
      <c r="G1135" s="80" t="b">
        <v>0</v>
      </c>
      <c r="H1135" s="80" t="b">
        <v>0</v>
      </c>
      <c r="I1135" s="80" t="b">
        <v>0</v>
      </c>
      <c r="J1135" s="80" t="b">
        <v>0</v>
      </c>
      <c r="K1135" s="80" t="b">
        <v>0</v>
      </c>
      <c r="L1135" s="80" t="b">
        <v>0</v>
      </c>
    </row>
    <row r="1136" spans="1:12" ht="15">
      <c r="A1136" s="81" t="s">
        <v>2295</v>
      </c>
      <c r="B1136" s="80" t="s">
        <v>2569</v>
      </c>
      <c r="C1136" s="80">
        <v>4</v>
      </c>
      <c r="D1136" s="104">
        <v>0.0017207720524472132</v>
      </c>
      <c r="E1136" s="104">
        <v>2.2372085050255706</v>
      </c>
      <c r="F1136" s="80" t="s">
        <v>2185</v>
      </c>
      <c r="G1136" s="80" t="b">
        <v>0</v>
      </c>
      <c r="H1136" s="80" t="b">
        <v>0</v>
      </c>
      <c r="I1136" s="80" t="b">
        <v>0</v>
      </c>
      <c r="J1136" s="80" t="b">
        <v>0</v>
      </c>
      <c r="K1136" s="80" t="b">
        <v>0</v>
      </c>
      <c r="L1136" s="80" t="b">
        <v>0</v>
      </c>
    </row>
    <row r="1137" spans="1:12" ht="15">
      <c r="A1137" s="81" t="s">
        <v>2311</v>
      </c>
      <c r="B1137" s="80" t="s">
        <v>2232</v>
      </c>
      <c r="C1137" s="80">
        <v>4</v>
      </c>
      <c r="D1137" s="104">
        <v>0.0017207720524472132</v>
      </c>
      <c r="E1137" s="104">
        <v>2.1914510144648958</v>
      </c>
      <c r="F1137" s="80" t="s">
        <v>2185</v>
      </c>
      <c r="G1137" s="80" t="b">
        <v>0</v>
      </c>
      <c r="H1137" s="80" t="b">
        <v>0</v>
      </c>
      <c r="I1137" s="80" t="b">
        <v>0</v>
      </c>
      <c r="J1137" s="80" t="b">
        <v>0</v>
      </c>
      <c r="K1137" s="80" t="b">
        <v>0</v>
      </c>
      <c r="L1137" s="80" t="b">
        <v>0</v>
      </c>
    </row>
    <row r="1138" spans="1:12" ht="15">
      <c r="A1138" s="81" t="s">
        <v>2494</v>
      </c>
      <c r="B1138" s="80" t="s">
        <v>2497</v>
      </c>
      <c r="C1138" s="80">
        <v>4</v>
      </c>
      <c r="D1138" s="104">
        <v>0.0017207720524472132</v>
      </c>
      <c r="E1138" s="104">
        <v>2.5893910231369333</v>
      </c>
      <c r="F1138" s="80" t="s">
        <v>2185</v>
      </c>
      <c r="G1138" s="80" t="b">
        <v>0</v>
      </c>
      <c r="H1138" s="80" t="b">
        <v>0</v>
      </c>
      <c r="I1138" s="80" t="b">
        <v>0</v>
      </c>
      <c r="J1138" s="80" t="b">
        <v>0</v>
      </c>
      <c r="K1138" s="80" t="b">
        <v>0</v>
      </c>
      <c r="L1138" s="80" t="b">
        <v>0</v>
      </c>
    </row>
    <row r="1139" spans="1:12" ht="15">
      <c r="A1139" s="81" t="s">
        <v>2564</v>
      </c>
      <c r="B1139" s="80" t="s">
        <v>2236</v>
      </c>
      <c r="C1139" s="80">
        <v>4</v>
      </c>
      <c r="D1139" s="104">
        <v>0.0017207720524472132</v>
      </c>
      <c r="E1139" s="104">
        <v>2.346352974450639</v>
      </c>
      <c r="F1139" s="80" t="s">
        <v>2185</v>
      </c>
      <c r="G1139" s="80" t="b">
        <v>1</v>
      </c>
      <c r="H1139" s="80" t="b">
        <v>0</v>
      </c>
      <c r="I1139" s="80" t="b">
        <v>0</v>
      </c>
      <c r="J1139" s="80" t="b">
        <v>0</v>
      </c>
      <c r="K1139" s="80" t="b">
        <v>0</v>
      </c>
      <c r="L1139" s="80" t="b">
        <v>0</v>
      </c>
    </row>
    <row r="1140" spans="1:12" ht="15">
      <c r="A1140" s="81" t="s">
        <v>2234</v>
      </c>
      <c r="B1140" s="80" t="s">
        <v>2226</v>
      </c>
      <c r="C1140" s="80">
        <v>4</v>
      </c>
      <c r="D1140" s="104">
        <v>0.0017207720524472132</v>
      </c>
      <c r="E1140" s="104">
        <v>2.2372085050255706</v>
      </c>
      <c r="F1140" s="80" t="s">
        <v>2185</v>
      </c>
      <c r="G1140" s="80" t="b">
        <v>0</v>
      </c>
      <c r="H1140" s="80" t="b">
        <v>0</v>
      </c>
      <c r="I1140" s="80" t="b">
        <v>0</v>
      </c>
      <c r="J1140" s="80" t="b">
        <v>0</v>
      </c>
      <c r="K1140" s="80" t="b">
        <v>0</v>
      </c>
      <c r="L1140" s="80" t="b">
        <v>0</v>
      </c>
    </row>
    <row r="1141" spans="1:12" ht="15">
      <c r="A1141" s="81" t="s">
        <v>2261</v>
      </c>
      <c r="B1141" s="80" t="s">
        <v>2523</v>
      </c>
      <c r="C1141" s="80">
        <v>4</v>
      </c>
      <c r="D1141" s="104">
        <v>0.0017207720524472132</v>
      </c>
      <c r="E1141" s="104">
        <v>2.2372085050255706</v>
      </c>
      <c r="F1141" s="80" t="s">
        <v>2185</v>
      </c>
      <c r="G1141" s="80" t="b">
        <v>1</v>
      </c>
      <c r="H1141" s="80" t="b">
        <v>0</v>
      </c>
      <c r="I1141" s="80" t="b">
        <v>0</v>
      </c>
      <c r="J1141" s="80" t="b">
        <v>0</v>
      </c>
      <c r="K1141" s="80" t="b">
        <v>0</v>
      </c>
      <c r="L1141" s="80" t="b">
        <v>0</v>
      </c>
    </row>
    <row r="1142" spans="1:12" ht="15">
      <c r="A1142" s="81" t="s">
        <v>2305</v>
      </c>
      <c r="B1142" s="80" t="s">
        <v>2283</v>
      </c>
      <c r="C1142" s="80">
        <v>4</v>
      </c>
      <c r="D1142" s="104">
        <v>0.0017207720524472132</v>
      </c>
      <c r="E1142" s="104">
        <v>2.5893910231369333</v>
      </c>
      <c r="F1142" s="80" t="s">
        <v>2185</v>
      </c>
      <c r="G1142" s="80" t="b">
        <v>0</v>
      </c>
      <c r="H1142" s="80" t="b">
        <v>0</v>
      </c>
      <c r="I1142" s="80" t="b">
        <v>0</v>
      </c>
      <c r="J1142" s="80" t="b">
        <v>0</v>
      </c>
      <c r="K1142" s="80" t="b">
        <v>0</v>
      </c>
      <c r="L1142" s="80" t="b">
        <v>0</v>
      </c>
    </row>
    <row r="1143" spans="1:12" ht="15">
      <c r="A1143" s="81" t="s">
        <v>2531</v>
      </c>
      <c r="B1143" s="80" t="s">
        <v>2522</v>
      </c>
      <c r="C1143" s="80">
        <v>4</v>
      </c>
      <c r="D1143" s="104">
        <v>0.0017207720524472132</v>
      </c>
      <c r="E1143" s="104">
        <v>2.5893910231369333</v>
      </c>
      <c r="F1143" s="80" t="s">
        <v>2185</v>
      </c>
      <c r="G1143" s="80" t="b">
        <v>0</v>
      </c>
      <c r="H1143" s="80" t="b">
        <v>0</v>
      </c>
      <c r="I1143" s="80" t="b">
        <v>0</v>
      </c>
      <c r="J1143" s="80" t="b">
        <v>0</v>
      </c>
      <c r="K1143" s="80" t="b">
        <v>0</v>
      </c>
      <c r="L1143" s="80" t="b">
        <v>0</v>
      </c>
    </row>
    <row r="1144" spans="1:12" ht="15">
      <c r="A1144" s="81" t="s">
        <v>2230</v>
      </c>
      <c r="B1144" s="80" t="s">
        <v>2361</v>
      </c>
      <c r="C1144" s="80">
        <v>4</v>
      </c>
      <c r="D1144" s="104">
        <v>0.0017207720524472132</v>
      </c>
      <c r="E1144" s="104">
        <v>2.2372085050255706</v>
      </c>
      <c r="F1144" s="80" t="s">
        <v>2185</v>
      </c>
      <c r="G1144" s="80" t="b">
        <v>0</v>
      </c>
      <c r="H1144" s="80" t="b">
        <v>0</v>
      </c>
      <c r="I1144" s="80" t="b">
        <v>0</v>
      </c>
      <c r="J1144" s="80" t="b">
        <v>0</v>
      </c>
      <c r="K1144" s="80" t="b">
        <v>0</v>
      </c>
      <c r="L1144" s="80" t="b">
        <v>0</v>
      </c>
    </row>
    <row r="1145" spans="1:12" ht="15">
      <c r="A1145" s="81" t="s">
        <v>2554</v>
      </c>
      <c r="B1145" s="80" t="s">
        <v>2564</v>
      </c>
      <c r="C1145" s="80">
        <v>4</v>
      </c>
      <c r="D1145" s="104">
        <v>0.0017207720524472132</v>
      </c>
      <c r="E1145" s="104">
        <v>2.5893910231369333</v>
      </c>
      <c r="F1145" s="80" t="s">
        <v>2185</v>
      </c>
      <c r="G1145" s="80" t="b">
        <v>1</v>
      </c>
      <c r="H1145" s="80" t="b">
        <v>0</v>
      </c>
      <c r="I1145" s="80" t="b">
        <v>0</v>
      </c>
      <c r="J1145" s="80" t="b">
        <v>1</v>
      </c>
      <c r="K1145" s="80" t="b">
        <v>0</v>
      </c>
      <c r="L1145" s="80" t="b">
        <v>0</v>
      </c>
    </row>
    <row r="1146" spans="1:12" ht="15">
      <c r="A1146" s="81" t="s">
        <v>2475</v>
      </c>
      <c r="B1146" s="80" t="s">
        <v>2223</v>
      </c>
      <c r="C1146" s="80">
        <v>4</v>
      </c>
      <c r="D1146" s="104">
        <v>0.002486264730550153</v>
      </c>
      <c r="E1146" s="104">
        <v>1.672937074587008</v>
      </c>
      <c r="F1146" s="80" t="s">
        <v>2185</v>
      </c>
      <c r="G1146" s="80" t="b">
        <v>0</v>
      </c>
      <c r="H1146" s="80" t="b">
        <v>0</v>
      </c>
      <c r="I1146" s="80" t="b">
        <v>0</v>
      </c>
      <c r="J1146" s="80" t="b">
        <v>0</v>
      </c>
      <c r="K1146" s="80" t="b">
        <v>0</v>
      </c>
      <c r="L1146" s="80" t="b">
        <v>0</v>
      </c>
    </row>
    <row r="1147" spans="1:12" ht="15">
      <c r="A1147" s="81" t="s">
        <v>2261</v>
      </c>
      <c r="B1147" s="80" t="s">
        <v>2301</v>
      </c>
      <c r="C1147" s="80">
        <v>4</v>
      </c>
      <c r="D1147" s="104">
        <v>0.0017207720524472132</v>
      </c>
      <c r="E1147" s="104">
        <v>1.9361785093615893</v>
      </c>
      <c r="F1147" s="80" t="s">
        <v>2185</v>
      </c>
      <c r="G1147" s="80" t="b">
        <v>1</v>
      </c>
      <c r="H1147" s="80" t="b">
        <v>0</v>
      </c>
      <c r="I1147" s="80" t="b">
        <v>0</v>
      </c>
      <c r="J1147" s="80" t="b">
        <v>0</v>
      </c>
      <c r="K1147" s="80" t="b">
        <v>0</v>
      </c>
      <c r="L1147" s="80" t="b">
        <v>0</v>
      </c>
    </row>
    <row r="1148" spans="1:12" ht="15">
      <c r="A1148" s="81" t="s">
        <v>2558</v>
      </c>
      <c r="B1148" s="80" t="s">
        <v>2295</v>
      </c>
      <c r="C1148" s="80">
        <v>4</v>
      </c>
      <c r="D1148" s="104">
        <v>0.0017207720524472132</v>
      </c>
      <c r="E1148" s="104">
        <v>2.2372085050255706</v>
      </c>
      <c r="F1148" s="80" t="s">
        <v>2185</v>
      </c>
      <c r="G1148" s="80" t="b">
        <v>0</v>
      </c>
      <c r="H1148" s="80" t="b">
        <v>0</v>
      </c>
      <c r="I1148" s="80" t="b">
        <v>0</v>
      </c>
      <c r="J1148" s="80" t="b">
        <v>0</v>
      </c>
      <c r="K1148" s="80" t="b">
        <v>0</v>
      </c>
      <c r="L1148" s="80" t="b">
        <v>0</v>
      </c>
    </row>
    <row r="1149" spans="1:12" ht="15">
      <c r="A1149" s="81" t="s">
        <v>2318</v>
      </c>
      <c r="B1149" s="80" t="s">
        <v>2244</v>
      </c>
      <c r="C1149" s="80">
        <v>4</v>
      </c>
      <c r="D1149" s="104">
        <v>0.0017207720524472132</v>
      </c>
      <c r="E1149" s="104">
        <v>2.249442961442582</v>
      </c>
      <c r="F1149" s="80" t="s">
        <v>2185</v>
      </c>
      <c r="G1149" s="80" t="b">
        <v>0</v>
      </c>
      <c r="H1149" s="80" t="b">
        <v>0</v>
      </c>
      <c r="I1149" s="80" t="b">
        <v>0</v>
      </c>
      <c r="J1149" s="80" t="b">
        <v>0</v>
      </c>
      <c r="K1149" s="80" t="b">
        <v>0</v>
      </c>
      <c r="L1149" s="80" t="b">
        <v>0</v>
      </c>
    </row>
    <row r="1150" spans="1:12" ht="15">
      <c r="A1150" s="81" t="s">
        <v>2286</v>
      </c>
      <c r="B1150" s="80" t="s">
        <v>2282</v>
      </c>
      <c r="C1150" s="80">
        <v>4</v>
      </c>
      <c r="D1150" s="104">
        <v>0.0017207720524472132</v>
      </c>
      <c r="E1150" s="104">
        <v>2.1122697684172707</v>
      </c>
      <c r="F1150" s="80" t="s">
        <v>2185</v>
      </c>
      <c r="G1150" s="80" t="b">
        <v>0</v>
      </c>
      <c r="H1150" s="80" t="b">
        <v>0</v>
      </c>
      <c r="I1150" s="80" t="b">
        <v>0</v>
      </c>
      <c r="J1150" s="80" t="b">
        <v>0</v>
      </c>
      <c r="K1150" s="80" t="b">
        <v>0</v>
      </c>
      <c r="L1150" s="80" t="b">
        <v>0</v>
      </c>
    </row>
    <row r="1151" spans="1:12" ht="15">
      <c r="A1151" s="81" t="s">
        <v>2532</v>
      </c>
      <c r="B1151" s="80" t="s">
        <v>2517</v>
      </c>
      <c r="C1151" s="80">
        <v>4</v>
      </c>
      <c r="D1151" s="104">
        <v>0.0017207720524472132</v>
      </c>
      <c r="E1151" s="104">
        <v>2.5893910231369333</v>
      </c>
      <c r="F1151" s="80" t="s">
        <v>2185</v>
      </c>
      <c r="G1151" s="80" t="b">
        <v>0</v>
      </c>
      <c r="H1151" s="80" t="b">
        <v>0</v>
      </c>
      <c r="I1151" s="80" t="b">
        <v>0</v>
      </c>
      <c r="J1151" s="80" t="b">
        <v>0</v>
      </c>
      <c r="K1151" s="80" t="b">
        <v>0</v>
      </c>
      <c r="L1151" s="80" t="b">
        <v>0</v>
      </c>
    </row>
    <row r="1152" spans="1:12" ht="15">
      <c r="A1152" s="81" t="s">
        <v>2557</v>
      </c>
      <c r="B1152" s="80" t="s">
        <v>2261</v>
      </c>
      <c r="C1152" s="80">
        <v>4</v>
      </c>
      <c r="D1152" s="104">
        <v>0.0017207720524472132</v>
      </c>
      <c r="E1152" s="104">
        <v>2.2372085050255706</v>
      </c>
      <c r="F1152" s="80" t="s">
        <v>2185</v>
      </c>
      <c r="G1152" s="80" t="b">
        <v>0</v>
      </c>
      <c r="H1152" s="80" t="b">
        <v>0</v>
      </c>
      <c r="I1152" s="80" t="b">
        <v>0</v>
      </c>
      <c r="J1152" s="80" t="b">
        <v>1</v>
      </c>
      <c r="K1152" s="80" t="b">
        <v>0</v>
      </c>
      <c r="L1152" s="80" t="b">
        <v>0</v>
      </c>
    </row>
    <row r="1153" spans="1:12" ht="15">
      <c r="A1153" s="81" t="s">
        <v>2246</v>
      </c>
      <c r="B1153" s="80" t="s">
        <v>2527</v>
      </c>
      <c r="C1153" s="80">
        <v>4</v>
      </c>
      <c r="D1153" s="104">
        <v>0.0017207720524472132</v>
      </c>
      <c r="E1153" s="104">
        <v>2.4924810101288766</v>
      </c>
      <c r="F1153" s="80" t="s">
        <v>2185</v>
      </c>
      <c r="G1153" s="80" t="b">
        <v>0</v>
      </c>
      <c r="H1153" s="80" t="b">
        <v>0</v>
      </c>
      <c r="I1153" s="80" t="b">
        <v>0</v>
      </c>
      <c r="J1153" s="80" t="b">
        <v>0</v>
      </c>
      <c r="K1153" s="80" t="b">
        <v>0</v>
      </c>
      <c r="L1153" s="80" t="b">
        <v>0</v>
      </c>
    </row>
    <row r="1154" spans="1:12" ht="15">
      <c r="A1154" s="81" t="s">
        <v>2517</v>
      </c>
      <c r="B1154" s="80" t="s">
        <v>2296</v>
      </c>
      <c r="C1154" s="80">
        <v>4</v>
      </c>
      <c r="D1154" s="104">
        <v>0.0017207720524472132</v>
      </c>
      <c r="E1154" s="104">
        <v>2.4924810101288766</v>
      </c>
      <c r="F1154" s="80" t="s">
        <v>2185</v>
      </c>
      <c r="G1154" s="80" t="b">
        <v>0</v>
      </c>
      <c r="H1154" s="80" t="b">
        <v>0</v>
      </c>
      <c r="I1154" s="80" t="b">
        <v>0</v>
      </c>
      <c r="J1154" s="80" t="b">
        <v>0</v>
      </c>
      <c r="K1154" s="80" t="b">
        <v>0</v>
      </c>
      <c r="L1154" s="80" t="b">
        <v>0</v>
      </c>
    </row>
    <row r="1155" spans="1:12" ht="15">
      <c r="A1155" s="81" t="s">
        <v>2384</v>
      </c>
      <c r="B1155" s="80" t="s">
        <v>2301</v>
      </c>
      <c r="C1155" s="80">
        <v>4</v>
      </c>
      <c r="D1155" s="104">
        <v>0.0017207720524472132</v>
      </c>
      <c r="E1155" s="104">
        <v>2.288361027472952</v>
      </c>
      <c r="F1155" s="80" t="s">
        <v>2185</v>
      </c>
      <c r="G1155" s="80" t="b">
        <v>0</v>
      </c>
      <c r="H1155" s="80" t="b">
        <v>0</v>
      </c>
      <c r="I1155" s="80" t="b">
        <v>0</v>
      </c>
      <c r="J1155" s="80" t="b">
        <v>0</v>
      </c>
      <c r="K1155" s="80" t="b">
        <v>0</v>
      </c>
      <c r="L1155" s="80" t="b">
        <v>0</v>
      </c>
    </row>
    <row r="1156" spans="1:12" ht="15">
      <c r="A1156" s="81" t="s">
        <v>2347</v>
      </c>
      <c r="B1156" s="80" t="s">
        <v>2282</v>
      </c>
      <c r="C1156" s="80">
        <v>4</v>
      </c>
      <c r="D1156" s="104">
        <v>0.0017207720524472132</v>
      </c>
      <c r="E1156" s="104">
        <v>1.9873310318089707</v>
      </c>
      <c r="F1156" s="80" t="s">
        <v>2185</v>
      </c>
      <c r="G1156" s="80" t="b">
        <v>0</v>
      </c>
      <c r="H1156" s="80" t="b">
        <v>0</v>
      </c>
      <c r="I1156" s="80" t="b">
        <v>0</v>
      </c>
      <c r="J1156" s="80" t="b">
        <v>0</v>
      </c>
      <c r="K1156" s="80" t="b">
        <v>0</v>
      </c>
      <c r="L1156" s="80" t="b">
        <v>0</v>
      </c>
    </row>
    <row r="1157" spans="1:12" ht="15">
      <c r="A1157" s="81" t="s">
        <v>2244</v>
      </c>
      <c r="B1157" s="80" t="s">
        <v>2341</v>
      </c>
      <c r="C1157" s="80">
        <v>4</v>
      </c>
      <c r="D1157" s="104">
        <v>0.0017207720524472132</v>
      </c>
      <c r="E1157" s="104">
        <v>2.1914510144648958</v>
      </c>
      <c r="F1157" s="80" t="s">
        <v>2185</v>
      </c>
      <c r="G1157" s="80" t="b">
        <v>0</v>
      </c>
      <c r="H1157" s="80" t="b">
        <v>0</v>
      </c>
      <c r="I1157" s="80" t="b">
        <v>0</v>
      </c>
      <c r="J1157" s="80" t="b">
        <v>0</v>
      </c>
      <c r="K1157" s="80" t="b">
        <v>0</v>
      </c>
      <c r="L1157" s="80" t="b">
        <v>0</v>
      </c>
    </row>
    <row r="1158" spans="1:12" ht="15">
      <c r="A1158" s="81" t="s">
        <v>2529</v>
      </c>
      <c r="B1158" s="80" t="s">
        <v>2246</v>
      </c>
      <c r="C1158" s="80">
        <v>4</v>
      </c>
      <c r="D1158" s="104">
        <v>0.0017207720524472132</v>
      </c>
      <c r="E1158" s="104">
        <v>2.4924810101288766</v>
      </c>
      <c r="F1158" s="80" t="s">
        <v>2185</v>
      </c>
      <c r="G1158" s="80" t="b">
        <v>0</v>
      </c>
      <c r="H1158" s="80" t="b">
        <v>0</v>
      </c>
      <c r="I1158" s="80" t="b">
        <v>0</v>
      </c>
      <c r="J1158" s="80" t="b">
        <v>0</v>
      </c>
      <c r="K1158" s="80" t="b">
        <v>0</v>
      </c>
      <c r="L1158" s="80" t="b">
        <v>0</v>
      </c>
    </row>
    <row r="1159" spans="1:12" ht="15">
      <c r="A1159" s="81" t="s">
        <v>2303</v>
      </c>
      <c r="B1159" s="80" t="s">
        <v>2529</v>
      </c>
      <c r="C1159" s="80">
        <v>4</v>
      </c>
      <c r="D1159" s="104">
        <v>0.0017207720524472132</v>
      </c>
      <c r="E1159" s="104">
        <v>2.4924810101288766</v>
      </c>
      <c r="F1159" s="80" t="s">
        <v>2185</v>
      </c>
      <c r="G1159" s="80" t="b">
        <v>0</v>
      </c>
      <c r="H1159" s="80" t="b">
        <v>0</v>
      </c>
      <c r="I1159" s="80" t="b">
        <v>0</v>
      </c>
      <c r="J1159" s="80" t="b">
        <v>0</v>
      </c>
      <c r="K1159" s="80" t="b">
        <v>0</v>
      </c>
      <c r="L1159" s="80" t="b">
        <v>0</v>
      </c>
    </row>
    <row r="1160" spans="1:12" ht="15">
      <c r="A1160" s="81" t="s">
        <v>2275</v>
      </c>
      <c r="B1160" s="80" t="s">
        <v>2242</v>
      </c>
      <c r="C1160" s="80">
        <v>4</v>
      </c>
      <c r="D1160" s="104">
        <v>0.0017207720524472132</v>
      </c>
      <c r="E1160" s="104">
        <v>1.752118320634633</v>
      </c>
      <c r="F1160" s="80" t="s">
        <v>2185</v>
      </c>
      <c r="G1160" s="80" t="b">
        <v>0</v>
      </c>
      <c r="H1160" s="80" t="b">
        <v>0</v>
      </c>
      <c r="I1160" s="80" t="b">
        <v>0</v>
      </c>
      <c r="J1160" s="80" t="b">
        <v>0</v>
      </c>
      <c r="K1160" s="80" t="b">
        <v>0</v>
      </c>
      <c r="L1160" s="80" t="b">
        <v>0</v>
      </c>
    </row>
    <row r="1161" spans="1:12" ht="15">
      <c r="A1161" s="81" t="s">
        <v>2376</v>
      </c>
      <c r="B1161" s="80" t="s">
        <v>2502</v>
      </c>
      <c r="C1161" s="80">
        <v>4</v>
      </c>
      <c r="D1161" s="104">
        <v>0.0017207720524472132</v>
      </c>
      <c r="E1161" s="104">
        <v>2.5893910231369333</v>
      </c>
      <c r="F1161" s="80" t="s">
        <v>2185</v>
      </c>
      <c r="G1161" s="80" t="b">
        <v>0</v>
      </c>
      <c r="H1161" s="80" t="b">
        <v>0</v>
      </c>
      <c r="I1161" s="80" t="b">
        <v>0</v>
      </c>
      <c r="J1161" s="80" t="b">
        <v>0</v>
      </c>
      <c r="K1161" s="80" t="b">
        <v>0</v>
      </c>
      <c r="L1161" s="80" t="b">
        <v>0</v>
      </c>
    </row>
    <row r="1162" spans="1:12" ht="15">
      <c r="A1162" s="81" t="s">
        <v>2361</v>
      </c>
      <c r="B1162" s="80" t="s">
        <v>2218</v>
      </c>
      <c r="C1162" s="80">
        <v>4</v>
      </c>
      <c r="D1162" s="104">
        <v>0.0017207720524472132</v>
      </c>
      <c r="E1162" s="104">
        <v>1.8490283336426891</v>
      </c>
      <c r="F1162" s="80" t="s">
        <v>2185</v>
      </c>
      <c r="G1162" s="80" t="b">
        <v>0</v>
      </c>
      <c r="H1162" s="80" t="b">
        <v>0</v>
      </c>
      <c r="I1162" s="80" t="b">
        <v>0</v>
      </c>
      <c r="J1162" s="80" t="b">
        <v>0</v>
      </c>
      <c r="K1162" s="80" t="b">
        <v>0</v>
      </c>
      <c r="L1162" s="80" t="b">
        <v>0</v>
      </c>
    </row>
    <row r="1163" spans="1:12" ht="15">
      <c r="A1163" s="81" t="s">
        <v>2550</v>
      </c>
      <c r="B1163" s="80" t="s">
        <v>2343</v>
      </c>
      <c r="C1163" s="80">
        <v>4</v>
      </c>
      <c r="D1163" s="104">
        <v>0.0017207720524472132</v>
      </c>
      <c r="E1163" s="104">
        <v>2.5893910231369333</v>
      </c>
      <c r="F1163" s="80" t="s">
        <v>2185</v>
      </c>
      <c r="G1163" s="80" t="b">
        <v>0</v>
      </c>
      <c r="H1163" s="80" t="b">
        <v>0</v>
      </c>
      <c r="I1163" s="80" t="b">
        <v>0</v>
      </c>
      <c r="J1163" s="80" t="b">
        <v>0</v>
      </c>
      <c r="K1163" s="80" t="b">
        <v>0</v>
      </c>
      <c r="L1163" s="80" t="b">
        <v>0</v>
      </c>
    </row>
    <row r="1164" spans="1:12" ht="15">
      <c r="A1164" s="81" t="s">
        <v>2540</v>
      </c>
      <c r="B1164" s="80" t="s">
        <v>2533</v>
      </c>
      <c r="C1164" s="80">
        <v>4</v>
      </c>
      <c r="D1164" s="104">
        <v>0.0017207720524472132</v>
      </c>
      <c r="E1164" s="104">
        <v>2.5893910231369333</v>
      </c>
      <c r="F1164" s="80" t="s">
        <v>2185</v>
      </c>
      <c r="G1164" s="80" t="b">
        <v>0</v>
      </c>
      <c r="H1164" s="80" t="b">
        <v>0</v>
      </c>
      <c r="I1164" s="80" t="b">
        <v>0</v>
      </c>
      <c r="J1164" s="80" t="b">
        <v>0</v>
      </c>
      <c r="K1164" s="80" t="b">
        <v>0</v>
      </c>
      <c r="L1164" s="80" t="b">
        <v>0</v>
      </c>
    </row>
    <row r="1165" spans="1:12" ht="15">
      <c r="A1165" s="81" t="s">
        <v>2248</v>
      </c>
      <c r="B1165" s="80" t="s">
        <v>2380</v>
      </c>
      <c r="C1165" s="80">
        <v>4</v>
      </c>
      <c r="D1165" s="104">
        <v>0.002486264730550153</v>
      </c>
      <c r="E1165" s="104">
        <v>1.7849108340309403</v>
      </c>
      <c r="F1165" s="80" t="s">
        <v>2185</v>
      </c>
      <c r="G1165" s="80" t="b">
        <v>0</v>
      </c>
      <c r="H1165" s="80" t="b">
        <v>0</v>
      </c>
      <c r="I1165" s="80" t="b">
        <v>0</v>
      </c>
      <c r="J1165" s="80" t="b">
        <v>0</v>
      </c>
      <c r="K1165" s="80" t="b">
        <v>0</v>
      </c>
      <c r="L1165" s="80" t="b">
        <v>0</v>
      </c>
    </row>
    <row r="1166" spans="1:12" ht="15">
      <c r="A1166" s="81" t="s">
        <v>2236</v>
      </c>
      <c r="B1166" s="80" t="s">
        <v>2494</v>
      </c>
      <c r="C1166" s="80">
        <v>4</v>
      </c>
      <c r="D1166" s="104">
        <v>0.0017207720524472132</v>
      </c>
      <c r="E1166" s="104">
        <v>2.346352974450639</v>
      </c>
      <c r="F1166" s="80" t="s">
        <v>2185</v>
      </c>
      <c r="G1166" s="80" t="b">
        <v>0</v>
      </c>
      <c r="H1166" s="80" t="b">
        <v>0</v>
      </c>
      <c r="I1166" s="80" t="b">
        <v>0</v>
      </c>
      <c r="J1166" s="80" t="b">
        <v>0</v>
      </c>
      <c r="K1166" s="80" t="b">
        <v>0</v>
      </c>
      <c r="L1166" s="80" t="b">
        <v>0</v>
      </c>
    </row>
    <row r="1167" spans="1:12" ht="15">
      <c r="A1167" s="81" t="s">
        <v>2435</v>
      </c>
      <c r="B1167" s="80" t="s">
        <v>2249</v>
      </c>
      <c r="C1167" s="80">
        <v>4</v>
      </c>
      <c r="D1167" s="104">
        <v>0.0017207720524472132</v>
      </c>
      <c r="E1167" s="104">
        <v>2.346352974450639</v>
      </c>
      <c r="F1167" s="80" t="s">
        <v>2185</v>
      </c>
      <c r="G1167" s="80" t="b">
        <v>1</v>
      </c>
      <c r="H1167" s="80" t="b">
        <v>0</v>
      </c>
      <c r="I1167" s="80" t="b">
        <v>0</v>
      </c>
      <c r="J1167" s="80" t="b">
        <v>0</v>
      </c>
      <c r="K1167" s="80" t="b">
        <v>0</v>
      </c>
      <c r="L1167" s="80" t="b">
        <v>0</v>
      </c>
    </row>
    <row r="1168" spans="1:12" ht="15">
      <c r="A1168" s="81" t="s">
        <v>2526</v>
      </c>
      <c r="B1168" s="80" t="s">
        <v>2221</v>
      </c>
      <c r="C1168" s="80">
        <v>4</v>
      </c>
      <c r="D1168" s="104">
        <v>0.0017207720524472132</v>
      </c>
      <c r="E1168" s="104">
        <v>2.1122697684172707</v>
      </c>
      <c r="F1168" s="80" t="s">
        <v>2185</v>
      </c>
      <c r="G1168" s="80" t="b">
        <v>0</v>
      </c>
      <c r="H1168" s="80" t="b">
        <v>0</v>
      </c>
      <c r="I1168" s="80" t="b">
        <v>0</v>
      </c>
      <c r="J1168" s="80" t="b">
        <v>0</v>
      </c>
      <c r="K1168" s="80" t="b">
        <v>0</v>
      </c>
      <c r="L1168" s="80" t="b">
        <v>0</v>
      </c>
    </row>
    <row r="1169" spans="1:12" ht="15">
      <c r="A1169" s="81" t="s">
        <v>2309</v>
      </c>
      <c r="B1169" s="80" t="s">
        <v>2311</v>
      </c>
      <c r="C1169" s="80">
        <v>4</v>
      </c>
      <c r="D1169" s="104">
        <v>0.0017207720524472132</v>
      </c>
      <c r="E1169" s="104">
        <v>2.3163897510731952</v>
      </c>
      <c r="F1169" s="80" t="s">
        <v>2185</v>
      </c>
      <c r="G1169" s="80" t="b">
        <v>0</v>
      </c>
      <c r="H1169" s="80" t="b">
        <v>0</v>
      </c>
      <c r="I1169" s="80" t="b">
        <v>0</v>
      </c>
      <c r="J1169" s="80" t="b">
        <v>0</v>
      </c>
      <c r="K1169" s="80" t="b">
        <v>0</v>
      </c>
      <c r="L1169" s="80" t="b">
        <v>0</v>
      </c>
    </row>
    <row r="1170" spans="1:12" ht="15">
      <c r="A1170" s="81" t="s">
        <v>2537</v>
      </c>
      <c r="B1170" s="80" t="s">
        <v>2499</v>
      </c>
      <c r="C1170" s="80">
        <v>4</v>
      </c>
      <c r="D1170" s="104">
        <v>0.0017207720524472132</v>
      </c>
      <c r="E1170" s="104">
        <v>2.5893910231369333</v>
      </c>
      <c r="F1170" s="80" t="s">
        <v>2185</v>
      </c>
      <c r="G1170" s="80" t="b">
        <v>0</v>
      </c>
      <c r="H1170" s="80" t="b">
        <v>0</v>
      </c>
      <c r="I1170" s="80" t="b">
        <v>0</v>
      </c>
      <c r="J1170" s="80" t="b">
        <v>0</v>
      </c>
      <c r="K1170" s="80" t="b">
        <v>0</v>
      </c>
      <c r="L1170" s="80" t="b">
        <v>0</v>
      </c>
    </row>
    <row r="1171" spans="1:12" ht="15">
      <c r="A1171" s="81" t="s">
        <v>2281</v>
      </c>
      <c r="B1171" s="80" t="s">
        <v>2261</v>
      </c>
      <c r="C1171" s="80">
        <v>4</v>
      </c>
      <c r="D1171" s="104">
        <v>0.0017207720524472132</v>
      </c>
      <c r="E1171" s="104">
        <v>2.2372085050255706</v>
      </c>
      <c r="F1171" s="80" t="s">
        <v>2185</v>
      </c>
      <c r="G1171" s="80" t="b">
        <v>0</v>
      </c>
      <c r="H1171" s="80" t="b">
        <v>0</v>
      </c>
      <c r="I1171" s="80" t="b">
        <v>0</v>
      </c>
      <c r="J1171" s="80" t="b">
        <v>1</v>
      </c>
      <c r="K1171" s="80" t="b">
        <v>0</v>
      </c>
      <c r="L1171" s="80" t="b">
        <v>0</v>
      </c>
    </row>
    <row r="1172" spans="1:12" ht="15">
      <c r="A1172" s="81" t="s">
        <v>2497</v>
      </c>
      <c r="B1172" s="80" t="s">
        <v>2435</v>
      </c>
      <c r="C1172" s="80">
        <v>4</v>
      </c>
      <c r="D1172" s="104">
        <v>0.0017207720524472132</v>
      </c>
      <c r="E1172" s="104">
        <v>2.5893910231369333</v>
      </c>
      <c r="F1172" s="80" t="s">
        <v>2185</v>
      </c>
      <c r="G1172" s="80" t="b">
        <v>0</v>
      </c>
      <c r="H1172" s="80" t="b">
        <v>0</v>
      </c>
      <c r="I1172" s="80" t="b">
        <v>0</v>
      </c>
      <c r="J1172" s="80" t="b">
        <v>1</v>
      </c>
      <c r="K1172" s="80" t="b">
        <v>0</v>
      </c>
      <c r="L1172" s="80" t="b">
        <v>0</v>
      </c>
    </row>
    <row r="1173" spans="1:12" ht="15">
      <c r="A1173" s="81" t="s">
        <v>2232</v>
      </c>
      <c r="B1173" s="80" t="s">
        <v>2355</v>
      </c>
      <c r="C1173" s="80">
        <v>4</v>
      </c>
      <c r="D1173" s="104">
        <v>0.0017207720524472132</v>
      </c>
      <c r="E1173" s="104">
        <v>2.288361027472952</v>
      </c>
      <c r="F1173" s="80" t="s">
        <v>2185</v>
      </c>
      <c r="G1173" s="80" t="b">
        <v>0</v>
      </c>
      <c r="H1173" s="80" t="b">
        <v>0</v>
      </c>
      <c r="I1173" s="80" t="b">
        <v>0</v>
      </c>
      <c r="J1173" s="80" t="b">
        <v>0</v>
      </c>
      <c r="K1173" s="80" t="b">
        <v>0</v>
      </c>
      <c r="L1173" s="80" t="b">
        <v>0</v>
      </c>
    </row>
    <row r="1174" spans="1:12" ht="15">
      <c r="A1174" s="81" t="s">
        <v>2534</v>
      </c>
      <c r="B1174" s="80" t="s">
        <v>2532</v>
      </c>
      <c r="C1174" s="80">
        <v>4</v>
      </c>
      <c r="D1174" s="104">
        <v>0.0017207720524472132</v>
      </c>
      <c r="E1174" s="104">
        <v>2.5893910231369333</v>
      </c>
      <c r="F1174" s="80" t="s">
        <v>2185</v>
      </c>
      <c r="G1174" s="80" t="b">
        <v>0</v>
      </c>
      <c r="H1174" s="80" t="b">
        <v>0</v>
      </c>
      <c r="I1174" s="80" t="b">
        <v>0</v>
      </c>
      <c r="J1174" s="80" t="b">
        <v>0</v>
      </c>
      <c r="K1174" s="80" t="b">
        <v>0</v>
      </c>
      <c r="L1174" s="80" t="b">
        <v>0</v>
      </c>
    </row>
    <row r="1175" spans="1:12" ht="15">
      <c r="A1175" s="81" t="s">
        <v>2555</v>
      </c>
      <c r="B1175" s="80" t="s">
        <v>2534</v>
      </c>
      <c r="C1175" s="80">
        <v>4</v>
      </c>
      <c r="D1175" s="104">
        <v>0.0017207720524472132</v>
      </c>
      <c r="E1175" s="104">
        <v>2.5893910231369333</v>
      </c>
      <c r="F1175" s="80" t="s">
        <v>2185</v>
      </c>
      <c r="G1175" s="80" t="b">
        <v>0</v>
      </c>
      <c r="H1175" s="80" t="b">
        <v>0</v>
      </c>
      <c r="I1175" s="80" t="b">
        <v>0</v>
      </c>
      <c r="J1175" s="80" t="b">
        <v>0</v>
      </c>
      <c r="K1175" s="80" t="b">
        <v>0</v>
      </c>
      <c r="L1175" s="80" t="b">
        <v>0</v>
      </c>
    </row>
    <row r="1176" spans="1:12" ht="15">
      <c r="A1176" s="81" t="s">
        <v>2343</v>
      </c>
      <c r="B1176" s="80" t="s">
        <v>2555</v>
      </c>
      <c r="C1176" s="80">
        <v>4</v>
      </c>
      <c r="D1176" s="104">
        <v>0.0017207720524472132</v>
      </c>
      <c r="E1176" s="104">
        <v>2.5893910231369333</v>
      </c>
      <c r="F1176" s="80" t="s">
        <v>2185</v>
      </c>
      <c r="G1176" s="80" t="b">
        <v>0</v>
      </c>
      <c r="H1176" s="80" t="b">
        <v>0</v>
      </c>
      <c r="I1176" s="80" t="b">
        <v>0</v>
      </c>
      <c r="J1176" s="80" t="b">
        <v>0</v>
      </c>
      <c r="K1176" s="80" t="b">
        <v>0</v>
      </c>
      <c r="L1176" s="80" t="b">
        <v>0</v>
      </c>
    </row>
    <row r="1177" spans="1:12" ht="15">
      <c r="A1177" s="81" t="s">
        <v>2216</v>
      </c>
      <c r="B1177" s="80" t="s">
        <v>2248</v>
      </c>
      <c r="C1177" s="80">
        <v>3</v>
      </c>
      <c r="D1177" s="104">
        <v>0.0015288601644624917</v>
      </c>
      <c r="E1177" s="104">
        <v>1.1159040530723647</v>
      </c>
      <c r="F1177" s="80" t="s">
        <v>2185</v>
      </c>
      <c r="G1177" s="80" t="b">
        <v>0</v>
      </c>
      <c r="H1177" s="80" t="b">
        <v>0</v>
      </c>
      <c r="I1177" s="80" t="b">
        <v>0</v>
      </c>
      <c r="J1177" s="80" t="b">
        <v>0</v>
      </c>
      <c r="K1177" s="80" t="b">
        <v>0</v>
      </c>
      <c r="L1177" s="80" t="b">
        <v>0</v>
      </c>
    </row>
    <row r="1178" spans="1:12" ht="15">
      <c r="A1178" s="81" t="s">
        <v>2231</v>
      </c>
      <c r="B1178" s="80" t="s">
        <v>2219</v>
      </c>
      <c r="C1178" s="80">
        <v>3</v>
      </c>
      <c r="D1178" s="104">
        <v>0.0018646985479126147</v>
      </c>
      <c r="E1178" s="104">
        <v>2.0665122778565954</v>
      </c>
      <c r="F1178" s="80" t="s">
        <v>2185</v>
      </c>
      <c r="G1178" s="80" t="b">
        <v>0</v>
      </c>
      <c r="H1178" s="80" t="b">
        <v>0</v>
      </c>
      <c r="I1178" s="80" t="b">
        <v>0</v>
      </c>
      <c r="J1178" s="80" t="b">
        <v>0</v>
      </c>
      <c r="K1178" s="80" t="b">
        <v>0</v>
      </c>
      <c r="L1178" s="80" t="b">
        <v>0</v>
      </c>
    </row>
    <row r="1179" spans="1:12" ht="15">
      <c r="A1179" s="81" t="s">
        <v>2225</v>
      </c>
      <c r="B1179" s="80" t="s">
        <v>2224</v>
      </c>
      <c r="C1179" s="80">
        <v>3</v>
      </c>
      <c r="D1179" s="104">
        <v>0.0015288601644624917</v>
      </c>
      <c r="E1179" s="104">
        <v>2.1914510144648953</v>
      </c>
      <c r="F1179" s="80" t="s">
        <v>2185</v>
      </c>
      <c r="G1179" s="80" t="b">
        <v>0</v>
      </c>
      <c r="H1179" s="80" t="b">
        <v>0</v>
      </c>
      <c r="I1179" s="80" t="b">
        <v>0</v>
      </c>
      <c r="J1179" s="80" t="b">
        <v>0</v>
      </c>
      <c r="K1179" s="80" t="b">
        <v>0</v>
      </c>
      <c r="L1179" s="80" t="b">
        <v>0</v>
      </c>
    </row>
    <row r="1180" spans="1:12" ht="15">
      <c r="A1180" s="81" t="s">
        <v>2213</v>
      </c>
      <c r="B1180" s="80" t="s">
        <v>2290</v>
      </c>
      <c r="C1180" s="80">
        <v>3</v>
      </c>
      <c r="D1180" s="104">
        <v>0.0015288601644624917</v>
      </c>
      <c r="E1180" s="104">
        <v>1.232409622143802</v>
      </c>
      <c r="F1180" s="80" t="s">
        <v>2185</v>
      </c>
      <c r="G1180" s="80" t="b">
        <v>0</v>
      </c>
      <c r="H1180" s="80" t="b">
        <v>0</v>
      </c>
      <c r="I1180" s="80" t="b">
        <v>0</v>
      </c>
      <c r="J1180" s="80" t="b">
        <v>0</v>
      </c>
      <c r="K1180" s="80" t="b">
        <v>0</v>
      </c>
      <c r="L1180" s="80" t="b">
        <v>0</v>
      </c>
    </row>
    <row r="1181" spans="1:12" ht="15">
      <c r="A1181" s="81" t="s">
        <v>2223</v>
      </c>
      <c r="B1181" s="80" t="s">
        <v>2258</v>
      </c>
      <c r="C1181" s="80">
        <v>3</v>
      </c>
      <c r="D1181" s="104">
        <v>0.0018646985479126147</v>
      </c>
      <c r="E1181" s="104">
        <v>1.2469683423147269</v>
      </c>
      <c r="F1181" s="80" t="s">
        <v>2185</v>
      </c>
      <c r="G1181" s="80" t="b">
        <v>0</v>
      </c>
      <c r="H1181" s="80" t="b">
        <v>0</v>
      </c>
      <c r="I1181" s="80" t="b">
        <v>0</v>
      </c>
      <c r="J1181" s="80" t="b">
        <v>0</v>
      </c>
      <c r="K1181" s="80" t="b">
        <v>0</v>
      </c>
      <c r="L1181" s="80" t="b">
        <v>0</v>
      </c>
    </row>
    <row r="1182" spans="1:12" ht="15">
      <c r="A1182" s="81" t="s">
        <v>2214</v>
      </c>
      <c r="B1182" s="80" t="s">
        <v>2228</v>
      </c>
      <c r="C1182" s="80">
        <v>3</v>
      </c>
      <c r="D1182" s="104">
        <v>0.0018646985479126147</v>
      </c>
      <c r="E1182" s="104">
        <v>0.9196094079283965</v>
      </c>
      <c r="F1182" s="80" t="s">
        <v>2185</v>
      </c>
      <c r="G1182" s="80" t="b">
        <v>0</v>
      </c>
      <c r="H1182" s="80" t="b">
        <v>0</v>
      </c>
      <c r="I1182" s="80" t="b">
        <v>0</v>
      </c>
      <c r="J1182" s="80" t="b">
        <v>0</v>
      </c>
      <c r="K1182" s="80" t="b">
        <v>0</v>
      </c>
      <c r="L1182" s="80" t="b">
        <v>0</v>
      </c>
    </row>
    <row r="1183" spans="1:12" ht="15">
      <c r="A1183" s="81" t="s">
        <v>2560</v>
      </c>
      <c r="B1183" s="80" t="s">
        <v>2223</v>
      </c>
      <c r="C1183" s="80">
        <v>3</v>
      </c>
      <c r="D1183" s="104">
        <v>0.00243881805648982</v>
      </c>
      <c r="E1183" s="104">
        <v>1.4510883249706517</v>
      </c>
      <c r="F1183" s="80" t="s">
        <v>2185</v>
      </c>
      <c r="G1183" s="80" t="b">
        <v>0</v>
      </c>
      <c r="H1183" s="80" t="b">
        <v>0</v>
      </c>
      <c r="I1183" s="80" t="b">
        <v>0</v>
      </c>
      <c r="J1183" s="80" t="b">
        <v>0</v>
      </c>
      <c r="K1183" s="80" t="b">
        <v>0</v>
      </c>
      <c r="L1183" s="80" t="b">
        <v>0</v>
      </c>
    </row>
    <row r="1184" spans="1:12" ht="15">
      <c r="A1184" s="81" t="s">
        <v>2407</v>
      </c>
      <c r="B1184" s="80" t="s">
        <v>2458</v>
      </c>
      <c r="C1184" s="80">
        <v>3</v>
      </c>
      <c r="D1184" s="104">
        <v>0.0015288601644624917</v>
      </c>
      <c r="E1184" s="104">
        <v>2.5893910231369333</v>
      </c>
      <c r="F1184" s="80" t="s">
        <v>2185</v>
      </c>
      <c r="G1184" s="80" t="b">
        <v>0</v>
      </c>
      <c r="H1184" s="80" t="b">
        <v>0</v>
      </c>
      <c r="I1184" s="80" t="b">
        <v>0</v>
      </c>
      <c r="J1184" s="80" t="b">
        <v>0</v>
      </c>
      <c r="K1184" s="80" t="b">
        <v>0</v>
      </c>
      <c r="L1184" s="80" t="b">
        <v>0</v>
      </c>
    </row>
    <row r="1185" spans="1:12" ht="15">
      <c r="A1185" s="81" t="s">
        <v>2228</v>
      </c>
      <c r="B1185" s="80" t="s">
        <v>2365</v>
      </c>
      <c r="C1185" s="80">
        <v>3</v>
      </c>
      <c r="D1185" s="104">
        <v>0.0018646985479126147</v>
      </c>
      <c r="E1185" s="104">
        <v>1.69084866389571</v>
      </c>
      <c r="F1185" s="80" t="s">
        <v>2185</v>
      </c>
      <c r="G1185" s="80" t="b">
        <v>0</v>
      </c>
      <c r="H1185" s="80" t="b">
        <v>0</v>
      </c>
      <c r="I1185" s="80" t="b">
        <v>0</v>
      </c>
      <c r="J1185" s="80" t="b">
        <v>0</v>
      </c>
      <c r="K1185" s="80" t="b">
        <v>0</v>
      </c>
      <c r="L1185" s="80" t="b">
        <v>0</v>
      </c>
    </row>
    <row r="1186" spans="1:12" ht="15">
      <c r="A1186" s="81" t="s">
        <v>2339</v>
      </c>
      <c r="B1186" s="80" t="s">
        <v>2277</v>
      </c>
      <c r="C1186" s="80">
        <v>3</v>
      </c>
      <c r="D1186" s="104">
        <v>0.00243881805648982</v>
      </c>
      <c r="E1186" s="104">
        <v>1.6473829701146199</v>
      </c>
      <c r="F1186" s="80" t="s">
        <v>2185</v>
      </c>
      <c r="G1186" s="80" t="b">
        <v>0</v>
      </c>
      <c r="H1186" s="80" t="b">
        <v>0</v>
      </c>
      <c r="I1186" s="80" t="b">
        <v>0</v>
      </c>
      <c r="J1186" s="80" t="b">
        <v>0</v>
      </c>
      <c r="K1186" s="80" t="b">
        <v>0</v>
      </c>
      <c r="L1186" s="80" t="b">
        <v>0</v>
      </c>
    </row>
    <row r="1187" spans="1:12" ht="15">
      <c r="A1187" s="81" t="s">
        <v>2277</v>
      </c>
      <c r="B1187" s="80" t="s">
        <v>2248</v>
      </c>
      <c r="C1187" s="80">
        <v>3</v>
      </c>
      <c r="D1187" s="104">
        <v>0.00243881805648982</v>
      </c>
      <c r="E1187" s="104">
        <v>1.2620320887506027</v>
      </c>
      <c r="F1187" s="80" t="s">
        <v>2185</v>
      </c>
      <c r="G1187" s="80" t="b">
        <v>0</v>
      </c>
      <c r="H1187" s="80" t="b">
        <v>0</v>
      </c>
      <c r="I1187" s="80" t="b">
        <v>0</v>
      </c>
      <c r="J1187" s="80" t="b">
        <v>0</v>
      </c>
      <c r="K1187" s="80" t="b">
        <v>0</v>
      </c>
      <c r="L1187" s="80" t="b">
        <v>0</v>
      </c>
    </row>
    <row r="1188" spans="1:12" ht="15">
      <c r="A1188" s="81" t="s">
        <v>2222</v>
      </c>
      <c r="B1188" s="80" t="s">
        <v>2225</v>
      </c>
      <c r="C1188" s="80">
        <v>3</v>
      </c>
      <c r="D1188" s="104">
        <v>0.0015288601644624917</v>
      </c>
      <c r="E1188" s="104">
        <v>2.1914510144648953</v>
      </c>
      <c r="F1188" s="80" t="s">
        <v>2185</v>
      </c>
      <c r="G1188" s="80" t="b">
        <v>0</v>
      </c>
      <c r="H1188" s="80" t="b">
        <v>0</v>
      </c>
      <c r="I1188" s="80" t="b">
        <v>0</v>
      </c>
      <c r="J1188" s="80" t="b">
        <v>0</v>
      </c>
      <c r="K1188" s="80" t="b">
        <v>0</v>
      </c>
      <c r="L1188" s="80" t="b">
        <v>0</v>
      </c>
    </row>
    <row r="1189" spans="1:12" ht="15">
      <c r="A1189" s="81" t="s">
        <v>2215</v>
      </c>
      <c r="B1189" s="80" t="s">
        <v>2222</v>
      </c>
      <c r="C1189" s="80">
        <v>3</v>
      </c>
      <c r="D1189" s="104">
        <v>0.0015288601644624917</v>
      </c>
      <c r="E1189" s="104">
        <v>1.8234742291703012</v>
      </c>
      <c r="F1189" s="80" t="s">
        <v>2185</v>
      </c>
      <c r="G1189" s="80" t="b">
        <v>0</v>
      </c>
      <c r="H1189" s="80" t="b">
        <v>0</v>
      </c>
      <c r="I1189" s="80" t="b">
        <v>0</v>
      </c>
      <c r="J1189" s="80" t="b">
        <v>0</v>
      </c>
      <c r="K1189" s="80" t="b">
        <v>0</v>
      </c>
      <c r="L1189" s="80" t="b">
        <v>0</v>
      </c>
    </row>
    <row r="1190" spans="1:12" ht="15">
      <c r="A1190" s="81" t="s">
        <v>2269</v>
      </c>
      <c r="B1190" s="80" t="s">
        <v>2273</v>
      </c>
      <c r="C1190" s="80">
        <v>2</v>
      </c>
      <c r="D1190" s="104">
        <v>0.0016258787043265466</v>
      </c>
      <c r="E1190" s="104">
        <v>2.0153597554092144</v>
      </c>
      <c r="F1190" s="80" t="s">
        <v>2185</v>
      </c>
      <c r="G1190" s="80" t="b">
        <v>0</v>
      </c>
      <c r="H1190" s="80" t="b">
        <v>0</v>
      </c>
      <c r="I1190" s="80" t="b">
        <v>0</v>
      </c>
      <c r="J1190" s="80" t="b">
        <v>1</v>
      </c>
      <c r="K1190" s="80" t="b">
        <v>0</v>
      </c>
      <c r="L1190" s="80" t="b">
        <v>0</v>
      </c>
    </row>
    <row r="1191" spans="1:12" ht="15">
      <c r="A1191" s="81" t="s">
        <v>2308</v>
      </c>
      <c r="B1191" s="80" t="s">
        <v>3114</v>
      </c>
      <c r="C1191" s="80">
        <v>2</v>
      </c>
      <c r="D1191" s="104">
        <v>0.0016258787043265466</v>
      </c>
      <c r="E1191" s="104">
        <v>2.4924810101288766</v>
      </c>
      <c r="F1191" s="80" t="s">
        <v>2185</v>
      </c>
      <c r="G1191" s="80" t="b">
        <v>0</v>
      </c>
      <c r="H1191" s="80" t="b">
        <v>0</v>
      </c>
      <c r="I1191" s="80" t="b">
        <v>0</v>
      </c>
      <c r="J1191" s="80" t="b">
        <v>0</v>
      </c>
      <c r="K1191" s="80" t="b">
        <v>0</v>
      </c>
      <c r="L1191" s="80" t="b">
        <v>0</v>
      </c>
    </row>
    <row r="1192" spans="1:12" ht="15">
      <c r="A1192" s="81" t="s">
        <v>2254</v>
      </c>
      <c r="B1192" s="80" t="s">
        <v>3147</v>
      </c>
      <c r="C1192" s="80">
        <v>2</v>
      </c>
      <c r="D1192" s="104">
        <v>0.0012431323652750766</v>
      </c>
      <c r="E1192" s="104">
        <v>2.5893910231369333</v>
      </c>
      <c r="F1192" s="80" t="s">
        <v>2185</v>
      </c>
      <c r="G1192" s="80" t="b">
        <v>0</v>
      </c>
      <c r="H1192" s="80" t="b">
        <v>0</v>
      </c>
      <c r="I1192" s="80" t="b">
        <v>0</v>
      </c>
      <c r="J1192" s="80" t="b">
        <v>0</v>
      </c>
      <c r="K1192" s="80" t="b">
        <v>0</v>
      </c>
      <c r="L1192" s="80" t="b">
        <v>0</v>
      </c>
    </row>
    <row r="1193" spans="1:12" ht="15">
      <c r="A1193" s="81" t="s">
        <v>2312</v>
      </c>
      <c r="B1193" s="80" t="s">
        <v>2256</v>
      </c>
      <c r="C1193" s="80">
        <v>2</v>
      </c>
      <c r="D1193" s="104">
        <v>0.0012431323652750766</v>
      </c>
      <c r="E1193" s="104">
        <v>2.5893910231369333</v>
      </c>
      <c r="F1193" s="80" t="s">
        <v>2185</v>
      </c>
      <c r="G1193" s="80" t="b">
        <v>0</v>
      </c>
      <c r="H1193" s="80" t="b">
        <v>0</v>
      </c>
      <c r="I1193" s="80" t="b">
        <v>0</v>
      </c>
      <c r="J1193" s="80" t="b">
        <v>0</v>
      </c>
      <c r="K1193" s="80" t="b">
        <v>0</v>
      </c>
      <c r="L1193" s="80" t="b">
        <v>0</v>
      </c>
    </row>
    <row r="1194" spans="1:12" ht="15">
      <c r="A1194" s="81" t="s">
        <v>2291</v>
      </c>
      <c r="B1194" s="80" t="s">
        <v>2354</v>
      </c>
      <c r="C1194" s="80">
        <v>2</v>
      </c>
      <c r="D1194" s="104">
        <v>0.0012431323652750766</v>
      </c>
      <c r="E1194" s="104">
        <v>2.413299764081252</v>
      </c>
      <c r="F1194" s="80" t="s">
        <v>2185</v>
      </c>
      <c r="G1194" s="80" t="b">
        <v>0</v>
      </c>
      <c r="H1194" s="80" t="b">
        <v>0</v>
      </c>
      <c r="I1194" s="80" t="b">
        <v>0</v>
      </c>
      <c r="J1194" s="80" t="b">
        <v>0</v>
      </c>
      <c r="K1194" s="80" t="b">
        <v>0</v>
      </c>
      <c r="L1194" s="80" t="b">
        <v>0</v>
      </c>
    </row>
    <row r="1195" spans="1:12" ht="15">
      <c r="A1195" s="81" t="s">
        <v>2242</v>
      </c>
      <c r="B1195" s="80" t="s">
        <v>2404</v>
      </c>
      <c r="C1195" s="80">
        <v>2</v>
      </c>
      <c r="D1195" s="104">
        <v>0.0012431323652750766</v>
      </c>
      <c r="E1195" s="104">
        <v>2.1500583293066704</v>
      </c>
      <c r="F1195" s="80" t="s">
        <v>2185</v>
      </c>
      <c r="G1195" s="80" t="b">
        <v>0</v>
      </c>
      <c r="H1195" s="80" t="b">
        <v>0</v>
      </c>
      <c r="I1195" s="80" t="b">
        <v>0</v>
      </c>
      <c r="J1195" s="80" t="b">
        <v>0</v>
      </c>
      <c r="K1195" s="80" t="b">
        <v>0</v>
      </c>
      <c r="L1195" s="80" t="b">
        <v>0</v>
      </c>
    </row>
    <row r="1196" spans="1:12" ht="15">
      <c r="A1196" s="81" t="s">
        <v>2687</v>
      </c>
      <c r="B1196" s="80" t="s">
        <v>2655</v>
      </c>
      <c r="C1196" s="80">
        <v>2</v>
      </c>
      <c r="D1196" s="104">
        <v>0.0012431323652750766</v>
      </c>
      <c r="E1196" s="104">
        <v>2.5893910231369333</v>
      </c>
      <c r="F1196" s="80" t="s">
        <v>2185</v>
      </c>
      <c r="G1196" s="80" t="b">
        <v>0</v>
      </c>
      <c r="H1196" s="80" t="b">
        <v>0</v>
      </c>
      <c r="I1196" s="80" t="b">
        <v>0</v>
      </c>
      <c r="J1196" s="80" t="b">
        <v>0</v>
      </c>
      <c r="K1196" s="80" t="b">
        <v>0</v>
      </c>
      <c r="L1196" s="80" t="b">
        <v>0</v>
      </c>
    </row>
    <row r="1197" spans="1:12" ht="15">
      <c r="A1197" s="81" t="s">
        <v>2325</v>
      </c>
      <c r="B1197" s="80" t="s">
        <v>2731</v>
      </c>
      <c r="C1197" s="80">
        <v>2</v>
      </c>
      <c r="D1197" s="104">
        <v>0.0012431323652750766</v>
      </c>
      <c r="E1197" s="104">
        <v>2.5893910231369333</v>
      </c>
      <c r="F1197" s="80" t="s">
        <v>2185</v>
      </c>
      <c r="G1197" s="80" t="b">
        <v>0</v>
      </c>
      <c r="H1197" s="80" t="b">
        <v>0</v>
      </c>
      <c r="I1197" s="80" t="b">
        <v>0</v>
      </c>
      <c r="J1197" s="80" t="b">
        <v>0</v>
      </c>
      <c r="K1197" s="80" t="b">
        <v>0</v>
      </c>
      <c r="L1197" s="80" t="b">
        <v>0</v>
      </c>
    </row>
    <row r="1198" spans="1:12" ht="15">
      <c r="A1198" s="81" t="s">
        <v>2216</v>
      </c>
      <c r="B1198" s="80" t="s">
        <v>2365</v>
      </c>
      <c r="C1198" s="80">
        <v>2</v>
      </c>
      <c r="D1198" s="104">
        <v>0.0012431323652750766</v>
      </c>
      <c r="E1198" s="104">
        <v>1.4712917110589385</v>
      </c>
      <c r="F1198" s="80" t="s">
        <v>2185</v>
      </c>
      <c r="G1198" s="80" t="b">
        <v>0</v>
      </c>
      <c r="H1198" s="80" t="b">
        <v>0</v>
      </c>
      <c r="I1198" s="80" t="b">
        <v>0</v>
      </c>
      <c r="J1198" s="80" t="b">
        <v>0</v>
      </c>
      <c r="K1198" s="80" t="b">
        <v>0</v>
      </c>
      <c r="L1198" s="80" t="b">
        <v>0</v>
      </c>
    </row>
    <row r="1199" spans="1:12" ht="15">
      <c r="A1199" s="81" t="s">
        <v>2890</v>
      </c>
      <c r="B1199" s="80" t="s">
        <v>2357</v>
      </c>
      <c r="C1199" s="80">
        <v>2</v>
      </c>
      <c r="D1199" s="104">
        <v>0.0012431323652750766</v>
      </c>
      <c r="E1199" s="104">
        <v>2.890421018800914</v>
      </c>
      <c r="F1199" s="80" t="s">
        <v>2185</v>
      </c>
      <c r="G1199" s="80" t="b">
        <v>0</v>
      </c>
      <c r="H1199" s="80" t="b">
        <v>0</v>
      </c>
      <c r="I1199" s="80" t="b">
        <v>0</v>
      </c>
      <c r="J1199" s="80" t="b">
        <v>0</v>
      </c>
      <c r="K1199" s="80" t="b">
        <v>0</v>
      </c>
      <c r="L1199" s="80" t="b">
        <v>0</v>
      </c>
    </row>
    <row r="1200" spans="1:12" ht="15">
      <c r="A1200" s="81" t="s">
        <v>2214</v>
      </c>
      <c r="B1200" s="80" t="s">
        <v>2277</v>
      </c>
      <c r="C1200" s="80">
        <v>2</v>
      </c>
      <c r="D1200" s="104">
        <v>0.0012431323652750766</v>
      </c>
      <c r="E1200" s="104">
        <v>0.7978758111953079</v>
      </c>
      <c r="F1200" s="80" t="s">
        <v>2185</v>
      </c>
      <c r="G1200" s="80" t="b">
        <v>0</v>
      </c>
      <c r="H1200" s="80" t="b">
        <v>0</v>
      </c>
      <c r="I1200" s="80" t="b">
        <v>0</v>
      </c>
      <c r="J1200" s="80" t="b">
        <v>0</v>
      </c>
      <c r="K1200" s="80" t="b">
        <v>0</v>
      </c>
      <c r="L1200" s="80" t="b">
        <v>0</v>
      </c>
    </row>
    <row r="1201" spans="1:12" ht="15">
      <c r="A1201" s="81" t="s">
        <v>2213</v>
      </c>
      <c r="B1201" s="80" t="s">
        <v>2229</v>
      </c>
      <c r="C1201" s="80">
        <v>2</v>
      </c>
      <c r="D1201" s="104">
        <v>0.0012431323652750766</v>
      </c>
      <c r="E1201" s="104">
        <v>1.1232651527187338</v>
      </c>
      <c r="F1201" s="80" t="s">
        <v>2185</v>
      </c>
      <c r="G1201" s="80" t="b">
        <v>0</v>
      </c>
      <c r="H1201" s="80" t="b">
        <v>0</v>
      </c>
      <c r="I1201" s="80" t="b">
        <v>0</v>
      </c>
      <c r="J1201" s="80" t="b">
        <v>0</v>
      </c>
      <c r="K1201" s="80" t="b">
        <v>0</v>
      </c>
      <c r="L1201" s="80" t="b">
        <v>0</v>
      </c>
    </row>
    <row r="1202" spans="1:12" ht="15">
      <c r="A1202" s="81" t="s">
        <v>2219</v>
      </c>
      <c r="B1202" s="80" t="s">
        <v>2475</v>
      </c>
      <c r="C1202" s="80">
        <v>2</v>
      </c>
      <c r="D1202" s="104">
        <v>0.0012431323652750766</v>
      </c>
      <c r="E1202" s="104">
        <v>1.8904210188009143</v>
      </c>
      <c r="F1202" s="80" t="s">
        <v>2185</v>
      </c>
      <c r="G1202" s="80" t="b">
        <v>0</v>
      </c>
      <c r="H1202" s="80" t="b">
        <v>0</v>
      </c>
      <c r="I1202" s="80" t="b">
        <v>0</v>
      </c>
      <c r="J1202" s="80" t="b">
        <v>0</v>
      </c>
      <c r="K1202" s="80" t="b">
        <v>0</v>
      </c>
      <c r="L1202" s="80" t="b">
        <v>0</v>
      </c>
    </row>
    <row r="1203" spans="1:12" ht="15">
      <c r="A1203" s="81" t="s">
        <v>2332</v>
      </c>
      <c r="B1203" s="80" t="s">
        <v>2411</v>
      </c>
      <c r="C1203" s="80">
        <v>2</v>
      </c>
      <c r="D1203" s="104">
        <v>0.0012431323652750766</v>
      </c>
      <c r="E1203" s="104">
        <v>2.1914510144648958</v>
      </c>
      <c r="F1203" s="80" t="s">
        <v>2185</v>
      </c>
      <c r="G1203" s="80" t="b">
        <v>0</v>
      </c>
      <c r="H1203" s="80" t="b">
        <v>0</v>
      </c>
      <c r="I1203" s="80" t="b">
        <v>0</v>
      </c>
      <c r="J1203" s="80" t="b">
        <v>0</v>
      </c>
      <c r="K1203" s="80" t="b">
        <v>0</v>
      </c>
      <c r="L1203" s="80" t="b">
        <v>0</v>
      </c>
    </row>
    <row r="1204" spans="1:12" ht="15">
      <c r="A1204" s="81" t="s">
        <v>2277</v>
      </c>
      <c r="B1204" s="80" t="s">
        <v>2784</v>
      </c>
      <c r="C1204" s="80">
        <v>2</v>
      </c>
      <c r="D1204" s="104">
        <v>0.0016258787043265466</v>
      </c>
      <c r="E1204" s="104">
        <v>1.8392684963535328</v>
      </c>
      <c r="F1204" s="80" t="s">
        <v>2185</v>
      </c>
      <c r="G1204" s="80" t="b">
        <v>0</v>
      </c>
      <c r="H1204" s="80" t="b">
        <v>0</v>
      </c>
      <c r="I1204" s="80" t="b">
        <v>0</v>
      </c>
      <c r="J1204" s="80" t="b">
        <v>0</v>
      </c>
      <c r="K1204" s="80" t="b">
        <v>0</v>
      </c>
      <c r="L1204" s="80" t="b">
        <v>0</v>
      </c>
    </row>
    <row r="1205" spans="1:12" ht="15">
      <c r="A1205" s="81" t="s">
        <v>2332</v>
      </c>
      <c r="B1205" s="80" t="s">
        <v>2213</v>
      </c>
      <c r="C1205" s="80">
        <v>2</v>
      </c>
      <c r="D1205" s="104">
        <v>0.0012431323652750766</v>
      </c>
      <c r="E1205" s="104">
        <v>0.948412965778601</v>
      </c>
      <c r="F1205" s="80" t="s">
        <v>2185</v>
      </c>
      <c r="G1205" s="80" t="b">
        <v>0</v>
      </c>
      <c r="H1205" s="80" t="b">
        <v>0</v>
      </c>
      <c r="I1205" s="80" t="b">
        <v>0</v>
      </c>
      <c r="J1205" s="80" t="b">
        <v>0</v>
      </c>
      <c r="K1205" s="80" t="b">
        <v>0</v>
      </c>
      <c r="L1205" s="80" t="b">
        <v>0</v>
      </c>
    </row>
    <row r="1206" spans="1:12" ht="15">
      <c r="A1206" s="81" t="s">
        <v>2299</v>
      </c>
      <c r="B1206" s="80" t="s">
        <v>2306</v>
      </c>
      <c r="C1206" s="80">
        <v>2</v>
      </c>
      <c r="D1206" s="104">
        <v>0.0012431323652750766</v>
      </c>
      <c r="E1206" s="104">
        <v>2.890421018800914</v>
      </c>
      <c r="F1206" s="80" t="s">
        <v>2185</v>
      </c>
      <c r="G1206" s="80" t="b">
        <v>0</v>
      </c>
      <c r="H1206" s="80" t="b">
        <v>1</v>
      </c>
      <c r="I1206" s="80" t="b">
        <v>0</v>
      </c>
      <c r="J1206" s="80" t="b">
        <v>0</v>
      </c>
      <c r="K1206" s="80" t="b">
        <v>0</v>
      </c>
      <c r="L1206" s="80" t="b">
        <v>0</v>
      </c>
    </row>
    <row r="1207" spans="1:12" ht="15">
      <c r="A1207" s="81" t="s">
        <v>2804</v>
      </c>
      <c r="B1207" s="80" t="s">
        <v>2221</v>
      </c>
      <c r="C1207" s="80">
        <v>2</v>
      </c>
      <c r="D1207" s="104">
        <v>0.0012431323652750766</v>
      </c>
      <c r="E1207" s="104">
        <v>2.1122697684172707</v>
      </c>
      <c r="F1207" s="80" t="s">
        <v>2185</v>
      </c>
      <c r="G1207" s="80" t="b">
        <v>0</v>
      </c>
      <c r="H1207" s="80" t="b">
        <v>0</v>
      </c>
      <c r="I1207" s="80" t="b">
        <v>0</v>
      </c>
      <c r="J1207" s="80" t="b">
        <v>0</v>
      </c>
      <c r="K1207" s="80" t="b">
        <v>0</v>
      </c>
      <c r="L1207" s="80" t="b">
        <v>0</v>
      </c>
    </row>
    <row r="1208" spans="1:12" ht="15">
      <c r="A1208" s="81" t="s">
        <v>2586</v>
      </c>
      <c r="B1208" s="80" t="s">
        <v>2396</v>
      </c>
      <c r="C1208" s="80">
        <v>2</v>
      </c>
      <c r="D1208" s="104">
        <v>0.0012431323652750766</v>
      </c>
      <c r="E1208" s="104">
        <v>2.714329759745233</v>
      </c>
      <c r="F1208" s="80" t="s">
        <v>2185</v>
      </c>
      <c r="G1208" s="80" t="b">
        <v>0</v>
      </c>
      <c r="H1208" s="80" t="b">
        <v>0</v>
      </c>
      <c r="I1208" s="80" t="b">
        <v>0</v>
      </c>
      <c r="J1208" s="80" t="b">
        <v>0</v>
      </c>
      <c r="K1208" s="80" t="b">
        <v>0</v>
      </c>
      <c r="L1208" s="80" t="b">
        <v>0</v>
      </c>
    </row>
    <row r="1209" spans="1:12" ht="15">
      <c r="A1209" s="81" t="s">
        <v>2717</v>
      </c>
      <c r="B1209" s="80" t="s">
        <v>2216</v>
      </c>
      <c r="C1209" s="80">
        <v>2</v>
      </c>
      <c r="D1209" s="104">
        <v>0.0012431323652750766</v>
      </c>
      <c r="E1209" s="104">
        <v>1.693140460675295</v>
      </c>
      <c r="F1209" s="80" t="s">
        <v>2185</v>
      </c>
      <c r="G1209" s="80" t="b">
        <v>0</v>
      </c>
      <c r="H1209" s="80" t="b">
        <v>0</v>
      </c>
      <c r="I1209" s="80" t="b">
        <v>0</v>
      </c>
      <c r="J1209" s="80" t="b">
        <v>0</v>
      </c>
      <c r="K1209" s="80" t="b">
        <v>0</v>
      </c>
      <c r="L1209" s="80" t="b">
        <v>0</v>
      </c>
    </row>
    <row r="1210" spans="1:12" ht="15">
      <c r="A1210" s="81" t="s">
        <v>2676</v>
      </c>
      <c r="B1210" s="80" t="s">
        <v>2841</v>
      </c>
      <c r="C1210" s="80">
        <v>2</v>
      </c>
      <c r="D1210" s="104">
        <v>0.0012431323652750766</v>
      </c>
      <c r="E1210" s="104">
        <v>2.714329759745233</v>
      </c>
      <c r="F1210" s="80" t="s">
        <v>2185</v>
      </c>
      <c r="G1210" s="80" t="b">
        <v>0</v>
      </c>
      <c r="H1210" s="80" t="b">
        <v>0</v>
      </c>
      <c r="I1210" s="80" t="b">
        <v>0</v>
      </c>
      <c r="J1210" s="80" t="b">
        <v>0</v>
      </c>
      <c r="K1210" s="80" t="b">
        <v>0</v>
      </c>
      <c r="L1210" s="80" t="b">
        <v>0</v>
      </c>
    </row>
    <row r="1211" spans="1:12" ht="15">
      <c r="A1211" s="81" t="s">
        <v>2248</v>
      </c>
      <c r="B1211" s="80" t="s">
        <v>2223</v>
      </c>
      <c r="C1211" s="80">
        <v>2</v>
      </c>
      <c r="D1211" s="104">
        <v>0.0016258787043265466</v>
      </c>
      <c r="E1211" s="104">
        <v>0.7435181488727153</v>
      </c>
      <c r="F1211" s="80" t="s">
        <v>2185</v>
      </c>
      <c r="G1211" s="80" t="b">
        <v>0</v>
      </c>
      <c r="H1211" s="80" t="b">
        <v>0</v>
      </c>
      <c r="I1211" s="80" t="b">
        <v>0</v>
      </c>
      <c r="J1211" s="80" t="b">
        <v>0</v>
      </c>
      <c r="K1211" s="80" t="b">
        <v>0</v>
      </c>
      <c r="L1211" s="80" t="b">
        <v>0</v>
      </c>
    </row>
    <row r="1212" spans="1:12" ht="15">
      <c r="A1212" s="81" t="s">
        <v>3341</v>
      </c>
      <c r="B1212" s="80" t="s">
        <v>2223</v>
      </c>
      <c r="C1212" s="80">
        <v>2</v>
      </c>
      <c r="D1212" s="104">
        <v>0.0016258787043265466</v>
      </c>
      <c r="E1212" s="104">
        <v>1.672937074587008</v>
      </c>
      <c r="F1212" s="80" t="s">
        <v>2185</v>
      </c>
      <c r="G1212" s="80" t="b">
        <v>0</v>
      </c>
      <c r="H1212" s="80" t="b">
        <v>0</v>
      </c>
      <c r="I1212" s="80" t="b">
        <v>0</v>
      </c>
      <c r="J1212" s="80" t="b">
        <v>0</v>
      </c>
      <c r="K1212" s="80" t="b">
        <v>0</v>
      </c>
      <c r="L1212" s="80" t="b">
        <v>0</v>
      </c>
    </row>
    <row r="1213" spans="1:12" ht="15">
      <c r="A1213" s="81" t="s">
        <v>3143</v>
      </c>
      <c r="B1213" s="80" t="s">
        <v>3144</v>
      </c>
      <c r="C1213" s="80">
        <v>2</v>
      </c>
      <c r="D1213" s="104">
        <v>0.0016258787043265466</v>
      </c>
      <c r="E1213" s="104">
        <v>2.890421018800914</v>
      </c>
      <c r="F1213" s="80" t="s">
        <v>2185</v>
      </c>
      <c r="G1213" s="80" t="b">
        <v>0</v>
      </c>
      <c r="H1213" s="80" t="b">
        <v>0</v>
      </c>
      <c r="I1213" s="80" t="b">
        <v>0</v>
      </c>
      <c r="J1213" s="80" t="b">
        <v>0</v>
      </c>
      <c r="K1213" s="80" t="b">
        <v>0</v>
      </c>
      <c r="L1213" s="80" t="b">
        <v>0</v>
      </c>
    </row>
    <row r="1214" spans="1:12" ht="15">
      <c r="A1214" s="81" t="s">
        <v>2411</v>
      </c>
      <c r="B1214" s="80" t="s">
        <v>2635</v>
      </c>
      <c r="C1214" s="80">
        <v>2</v>
      </c>
      <c r="D1214" s="104">
        <v>0.0012431323652750766</v>
      </c>
      <c r="E1214" s="104">
        <v>2.714329759745233</v>
      </c>
      <c r="F1214" s="80" t="s">
        <v>2185</v>
      </c>
      <c r="G1214" s="80" t="b">
        <v>0</v>
      </c>
      <c r="H1214" s="80" t="b">
        <v>0</v>
      </c>
      <c r="I1214" s="80" t="b">
        <v>0</v>
      </c>
      <c r="J1214" s="80" t="b">
        <v>0</v>
      </c>
      <c r="K1214" s="80" t="b">
        <v>0</v>
      </c>
      <c r="L1214" s="80" t="b">
        <v>0</v>
      </c>
    </row>
    <row r="1215" spans="1:12" ht="15">
      <c r="A1215" s="81" t="s">
        <v>2221</v>
      </c>
      <c r="B1215" s="80" t="s">
        <v>2217</v>
      </c>
      <c r="C1215" s="80">
        <v>2</v>
      </c>
      <c r="D1215" s="104">
        <v>0.0012431323652750766</v>
      </c>
      <c r="E1215" s="104">
        <v>1.0708770832590455</v>
      </c>
      <c r="F1215" s="80" t="s">
        <v>2185</v>
      </c>
      <c r="G1215" s="80" t="b">
        <v>0</v>
      </c>
      <c r="H1215" s="80" t="b">
        <v>0</v>
      </c>
      <c r="I1215" s="80" t="b">
        <v>0</v>
      </c>
      <c r="J1215" s="80" t="b">
        <v>0</v>
      </c>
      <c r="K1215" s="80" t="b">
        <v>0</v>
      </c>
      <c r="L1215" s="80" t="b">
        <v>0</v>
      </c>
    </row>
    <row r="1216" spans="1:12" ht="15">
      <c r="A1216" s="81" t="s">
        <v>2256</v>
      </c>
      <c r="B1216" s="80" t="s">
        <v>2231</v>
      </c>
      <c r="C1216" s="80">
        <v>2</v>
      </c>
      <c r="D1216" s="104">
        <v>0.0012431323652750766</v>
      </c>
      <c r="E1216" s="104">
        <v>2.288361027472952</v>
      </c>
      <c r="F1216" s="80" t="s">
        <v>2185</v>
      </c>
      <c r="G1216" s="80" t="b">
        <v>0</v>
      </c>
      <c r="H1216" s="80" t="b">
        <v>0</v>
      </c>
      <c r="I1216" s="80" t="b">
        <v>0</v>
      </c>
      <c r="J1216" s="80" t="b">
        <v>0</v>
      </c>
      <c r="K1216" s="80" t="b">
        <v>0</v>
      </c>
      <c r="L1216" s="80" t="b">
        <v>0</v>
      </c>
    </row>
    <row r="1217" spans="1:12" ht="15">
      <c r="A1217" s="81" t="s">
        <v>2382</v>
      </c>
      <c r="B1217" s="80" t="s">
        <v>2217</v>
      </c>
      <c r="C1217" s="80">
        <v>2</v>
      </c>
      <c r="D1217" s="104">
        <v>0.0012431323652750766</v>
      </c>
      <c r="E1217" s="104">
        <v>1.672937074587008</v>
      </c>
      <c r="F1217" s="80" t="s">
        <v>2185</v>
      </c>
      <c r="G1217" s="80" t="b">
        <v>0</v>
      </c>
      <c r="H1217" s="80" t="b">
        <v>0</v>
      </c>
      <c r="I1217" s="80" t="b">
        <v>0</v>
      </c>
      <c r="J1217" s="80" t="b">
        <v>0</v>
      </c>
      <c r="K1217" s="80" t="b">
        <v>0</v>
      </c>
      <c r="L1217" s="80" t="b">
        <v>0</v>
      </c>
    </row>
    <row r="1218" spans="1:12" ht="15">
      <c r="A1218" s="81" t="s">
        <v>2882</v>
      </c>
      <c r="B1218" s="80" t="s">
        <v>2475</v>
      </c>
      <c r="C1218" s="80">
        <v>2</v>
      </c>
      <c r="D1218" s="104">
        <v>0.0012431323652750766</v>
      </c>
      <c r="E1218" s="104">
        <v>2.5893910231369333</v>
      </c>
      <c r="F1218" s="80" t="s">
        <v>2185</v>
      </c>
      <c r="G1218" s="80" t="b">
        <v>0</v>
      </c>
      <c r="H1218" s="80" t="b">
        <v>0</v>
      </c>
      <c r="I1218" s="80" t="b">
        <v>0</v>
      </c>
      <c r="J1218" s="80" t="b">
        <v>0</v>
      </c>
      <c r="K1218" s="80" t="b">
        <v>0</v>
      </c>
      <c r="L1218" s="80" t="b">
        <v>0</v>
      </c>
    </row>
    <row r="1219" spans="1:12" ht="15">
      <c r="A1219" s="81" t="s">
        <v>2219</v>
      </c>
      <c r="B1219" s="80" t="s">
        <v>2214</v>
      </c>
      <c r="C1219" s="80">
        <v>2</v>
      </c>
      <c r="D1219" s="104">
        <v>0.0016258787043265466</v>
      </c>
      <c r="E1219" s="104">
        <v>0.9739670702509893</v>
      </c>
      <c r="F1219" s="80" t="s">
        <v>2185</v>
      </c>
      <c r="G1219" s="80" t="b">
        <v>0</v>
      </c>
      <c r="H1219" s="80" t="b">
        <v>0</v>
      </c>
      <c r="I1219" s="80" t="b">
        <v>0</v>
      </c>
      <c r="J1219" s="80" t="b">
        <v>0</v>
      </c>
      <c r="K1219" s="80" t="b">
        <v>0</v>
      </c>
      <c r="L1219" s="80" t="b">
        <v>0</v>
      </c>
    </row>
    <row r="1220" spans="1:12" ht="15">
      <c r="A1220" s="81" t="s">
        <v>2483</v>
      </c>
      <c r="B1220" s="80" t="s">
        <v>3146</v>
      </c>
      <c r="C1220" s="80">
        <v>2</v>
      </c>
      <c r="D1220" s="104">
        <v>0.0012431323652750766</v>
      </c>
      <c r="E1220" s="104">
        <v>2.5893910231369333</v>
      </c>
      <c r="F1220" s="80" t="s">
        <v>2185</v>
      </c>
      <c r="G1220" s="80" t="b">
        <v>0</v>
      </c>
      <c r="H1220" s="80" t="b">
        <v>0</v>
      </c>
      <c r="I1220" s="80" t="b">
        <v>0</v>
      </c>
      <c r="J1220" s="80" t="b">
        <v>0</v>
      </c>
      <c r="K1220" s="80" t="b">
        <v>0</v>
      </c>
      <c r="L1220" s="80" t="b">
        <v>0</v>
      </c>
    </row>
    <row r="1221" spans="1:12" ht="15">
      <c r="A1221" s="81" t="s">
        <v>2223</v>
      </c>
      <c r="B1221" s="80" t="s">
        <v>2279</v>
      </c>
      <c r="C1221" s="80">
        <v>2</v>
      </c>
      <c r="D1221" s="104">
        <v>0.0012431323652750766</v>
      </c>
      <c r="E1221" s="104">
        <v>1.3719070789230268</v>
      </c>
      <c r="F1221" s="80" t="s">
        <v>2185</v>
      </c>
      <c r="G1221" s="80" t="b">
        <v>0</v>
      </c>
      <c r="H1221" s="80" t="b">
        <v>0</v>
      </c>
      <c r="I1221" s="80" t="b">
        <v>0</v>
      </c>
      <c r="J1221" s="80" t="b">
        <v>0</v>
      </c>
      <c r="K1221" s="80" t="b">
        <v>0</v>
      </c>
      <c r="L1221" s="80" t="b">
        <v>0</v>
      </c>
    </row>
    <row r="1222" spans="1:12" ht="15">
      <c r="A1222" s="81" t="s">
        <v>2213</v>
      </c>
      <c r="B1222" s="80" t="s">
        <v>3187</v>
      </c>
      <c r="C1222" s="80">
        <v>2</v>
      </c>
      <c r="D1222" s="104">
        <v>0.0012431323652750766</v>
      </c>
      <c r="E1222" s="104">
        <v>1.6003864074383962</v>
      </c>
      <c r="F1222" s="80" t="s">
        <v>2185</v>
      </c>
      <c r="G1222" s="80" t="b">
        <v>0</v>
      </c>
      <c r="H1222" s="80" t="b">
        <v>0</v>
      </c>
      <c r="I1222" s="80" t="b">
        <v>0</v>
      </c>
      <c r="J1222" s="80" t="b">
        <v>0</v>
      </c>
      <c r="K1222" s="80" t="b">
        <v>0</v>
      </c>
      <c r="L1222" s="80" t="b">
        <v>0</v>
      </c>
    </row>
    <row r="1223" spans="1:12" ht="15">
      <c r="A1223" s="81" t="s">
        <v>2867</v>
      </c>
      <c r="B1223" s="80" t="s">
        <v>2223</v>
      </c>
      <c r="C1223" s="80">
        <v>2</v>
      </c>
      <c r="D1223" s="104">
        <v>0.0016258787043265466</v>
      </c>
      <c r="E1223" s="104">
        <v>1.4968458155313267</v>
      </c>
      <c r="F1223" s="80" t="s">
        <v>2185</v>
      </c>
      <c r="G1223" s="80" t="b">
        <v>0</v>
      </c>
      <c r="H1223" s="80" t="b">
        <v>0</v>
      </c>
      <c r="I1223" s="80" t="b">
        <v>0</v>
      </c>
      <c r="J1223" s="80" t="b">
        <v>0</v>
      </c>
      <c r="K1223" s="80" t="b">
        <v>0</v>
      </c>
      <c r="L1223" s="80" t="b">
        <v>0</v>
      </c>
    </row>
    <row r="1224" spans="1:12" ht="15">
      <c r="A1224" s="81" t="s">
        <v>2228</v>
      </c>
      <c r="B1224" s="80" t="s">
        <v>2219</v>
      </c>
      <c r="C1224" s="80">
        <v>2</v>
      </c>
      <c r="D1224" s="104">
        <v>0.0016258787043265466</v>
      </c>
      <c r="E1224" s="104">
        <v>1.2137274091760477</v>
      </c>
      <c r="F1224" s="80" t="s">
        <v>2185</v>
      </c>
      <c r="G1224" s="80" t="b">
        <v>0</v>
      </c>
      <c r="H1224" s="80" t="b">
        <v>0</v>
      </c>
      <c r="I1224" s="80" t="b">
        <v>0</v>
      </c>
      <c r="J1224" s="80" t="b">
        <v>0</v>
      </c>
      <c r="K1224" s="80" t="b">
        <v>0</v>
      </c>
      <c r="L1224" s="80" t="b">
        <v>0</v>
      </c>
    </row>
    <row r="1225" spans="1:12" ht="15">
      <c r="A1225" s="81" t="s">
        <v>2223</v>
      </c>
      <c r="B1225" s="80" t="s">
        <v>2266</v>
      </c>
      <c r="C1225" s="80">
        <v>2</v>
      </c>
      <c r="D1225" s="104">
        <v>0.0012431323652750766</v>
      </c>
      <c r="E1225" s="104">
        <v>1.1958158198673456</v>
      </c>
      <c r="F1225" s="80" t="s">
        <v>2185</v>
      </c>
      <c r="G1225" s="80" t="b">
        <v>0</v>
      </c>
      <c r="H1225" s="80" t="b">
        <v>0</v>
      </c>
      <c r="I1225" s="80" t="b">
        <v>0</v>
      </c>
      <c r="J1225" s="80" t="b">
        <v>0</v>
      </c>
      <c r="K1225" s="80" t="b">
        <v>0</v>
      </c>
      <c r="L1225" s="80" t="b">
        <v>0</v>
      </c>
    </row>
    <row r="1226" spans="1:12" ht="15">
      <c r="A1226" s="81" t="s">
        <v>2616</v>
      </c>
      <c r="B1226" s="80" t="s">
        <v>3343</v>
      </c>
      <c r="C1226" s="80">
        <v>2</v>
      </c>
      <c r="D1226" s="104">
        <v>0.0012431323652750766</v>
      </c>
      <c r="E1226" s="104">
        <v>2.890421018800914</v>
      </c>
      <c r="F1226" s="80" t="s">
        <v>2185</v>
      </c>
      <c r="G1226" s="80" t="b">
        <v>0</v>
      </c>
      <c r="H1226" s="80" t="b">
        <v>0</v>
      </c>
      <c r="I1226" s="80" t="b">
        <v>0</v>
      </c>
      <c r="J1226" s="80" t="b">
        <v>0</v>
      </c>
      <c r="K1226" s="80" t="b">
        <v>0</v>
      </c>
      <c r="L1226" s="80" t="b">
        <v>0</v>
      </c>
    </row>
    <row r="1227" spans="1:12" ht="15">
      <c r="A1227" s="81" t="s">
        <v>2242</v>
      </c>
      <c r="B1227" s="80" t="s">
        <v>2216</v>
      </c>
      <c r="C1227" s="80">
        <v>2</v>
      </c>
      <c r="D1227" s="104">
        <v>0.0012431323652750766</v>
      </c>
      <c r="E1227" s="104">
        <v>1.1288690302367324</v>
      </c>
      <c r="F1227" s="80" t="s">
        <v>2185</v>
      </c>
      <c r="G1227" s="80" t="b">
        <v>0</v>
      </c>
      <c r="H1227" s="80" t="b">
        <v>0</v>
      </c>
      <c r="I1227" s="80" t="b">
        <v>0</v>
      </c>
      <c r="J1227" s="80" t="b">
        <v>0</v>
      </c>
      <c r="K1227" s="80" t="b">
        <v>0</v>
      </c>
      <c r="L1227" s="80" t="b">
        <v>0</v>
      </c>
    </row>
    <row r="1228" spans="1:12" ht="15">
      <c r="A1228" s="81" t="s">
        <v>2215</v>
      </c>
      <c r="B1228" s="80" t="s">
        <v>2224</v>
      </c>
      <c r="C1228" s="80">
        <v>2</v>
      </c>
      <c r="D1228" s="104">
        <v>0.0012431323652750766</v>
      </c>
      <c r="E1228" s="104">
        <v>1.568201724066995</v>
      </c>
      <c r="F1228" s="80" t="s">
        <v>2185</v>
      </c>
      <c r="G1228" s="80" t="b">
        <v>0</v>
      </c>
      <c r="H1228" s="80" t="b">
        <v>0</v>
      </c>
      <c r="I1228" s="80" t="b">
        <v>0</v>
      </c>
      <c r="J1228" s="80" t="b">
        <v>0</v>
      </c>
      <c r="K1228" s="80" t="b">
        <v>0</v>
      </c>
      <c r="L1228" s="80" t="b">
        <v>0</v>
      </c>
    </row>
    <row r="1229" spans="1:12" ht="15">
      <c r="A1229" s="81" t="s">
        <v>2827</v>
      </c>
      <c r="B1229" s="80" t="s">
        <v>2826</v>
      </c>
      <c r="C1229" s="80">
        <v>2</v>
      </c>
      <c r="D1229" s="104">
        <v>0.0016258787043265466</v>
      </c>
      <c r="E1229" s="104">
        <v>2.890421018800914</v>
      </c>
      <c r="F1229" s="80" t="s">
        <v>2185</v>
      </c>
      <c r="G1229" s="80" t="b">
        <v>0</v>
      </c>
      <c r="H1229" s="80" t="b">
        <v>0</v>
      </c>
      <c r="I1229" s="80" t="b">
        <v>0</v>
      </c>
      <c r="J1229" s="80" t="b">
        <v>0</v>
      </c>
      <c r="K1229" s="80" t="b">
        <v>0</v>
      </c>
      <c r="L1229" s="80" t="b">
        <v>0</v>
      </c>
    </row>
    <row r="1230" spans="1:12" ht="15">
      <c r="A1230" s="81" t="s">
        <v>2731</v>
      </c>
      <c r="B1230" s="80" t="s">
        <v>2452</v>
      </c>
      <c r="C1230" s="80">
        <v>2</v>
      </c>
      <c r="D1230" s="104">
        <v>0.0012431323652750766</v>
      </c>
      <c r="E1230" s="104">
        <v>2.890421018800914</v>
      </c>
      <c r="F1230" s="80" t="s">
        <v>2185</v>
      </c>
      <c r="G1230" s="80" t="b">
        <v>0</v>
      </c>
      <c r="H1230" s="80" t="b">
        <v>0</v>
      </c>
      <c r="I1230" s="80" t="b">
        <v>0</v>
      </c>
      <c r="J1230" s="80" t="b">
        <v>0</v>
      </c>
      <c r="K1230" s="80" t="b">
        <v>0</v>
      </c>
      <c r="L1230" s="80" t="b">
        <v>0</v>
      </c>
    </row>
    <row r="1231" spans="1:12" ht="15">
      <c r="A1231" s="81" t="s">
        <v>2216</v>
      </c>
      <c r="B1231" s="80" t="s">
        <v>2249</v>
      </c>
      <c r="C1231" s="80">
        <v>2</v>
      </c>
      <c r="D1231" s="104">
        <v>0.0012431323652750766</v>
      </c>
      <c r="E1231" s="104">
        <v>1.3251636753807006</v>
      </c>
      <c r="F1231" s="80" t="s">
        <v>2185</v>
      </c>
      <c r="G1231" s="80" t="b">
        <v>0</v>
      </c>
      <c r="H1231" s="80" t="b">
        <v>0</v>
      </c>
      <c r="I1231" s="80" t="b">
        <v>0</v>
      </c>
      <c r="J1231" s="80" t="b">
        <v>0</v>
      </c>
      <c r="K1231" s="80" t="b">
        <v>0</v>
      </c>
      <c r="L1231" s="80" t="b">
        <v>0</v>
      </c>
    </row>
    <row r="1232" spans="1:12" ht="15">
      <c r="A1232" s="81" t="s">
        <v>2274</v>
      </c>
      <c r="B1232" s="80" t="s">
        <v>2369</v>
      </c>
      <c r="C1232" s="80">
        <v>2</v>
      </c>
      <c r="D1232" s="104">
        <v>0.0012431323652750766</v>
      </c>
      <c r="E1232" s="104">
        <v>2.288361027472952</v>
      </c>
      <c r="F1232" s="80" t="s">
        <v>2185</v>
      </c>
      <c r="G1232" s="80" t="b">
        <v>0</v>
      </c>
      <c r="H1232" s="80" t="b">
        <v>0</v>
      </c>
      <c r="I1232" s="80" t="b">
        <v>0</v>
      </c>
      <c r="J1232" s="80" t="b">
        <v>0</v>
      </c>
      <c r="K1232" s="80" t="b">
        <v>0</v>
      </c>
      <c r="L1232" s="80" t="b">
        <v>0</v>
      </c>
    </row>
    <row r="1233" spans="1:12" ht="15">
      <c r="A1233" s="81" t="s">
        <v>2214</v>
      </c>
      <c r="B1233" s="80" t="s">
        <v>2290</v>
      </c>
      <c r="C1233" s="80">
        <v>2</v>
      </c>
      <c r="D1233" s="104">
        <v>0.0012431323652750766</v>
      </c>
      <c r="E1233" s="104">
        <v>1.1288690302367324</v>
      </c>
      <c r="F1233" s="80" t="s">
        <v>2185</v>
      </c>
      <c r="G1233" s="80" t="b">
        <v>0</v>
      </c>
      <c r="H1233" s="80" t="b">
        <v>0</v>
      </c>
      <c r="I1233" s="80" t="b">
        <v>0</v>
      </c>
      <c r="J1233" s="80" t="b">
        <v>0</v>
      </c>
      <c r="K1233" s="80" t="b">
        <v>0</v>
      </c>
      <c r="L1233" s="80" t="b">
        <v>0</v>
      </c>
    </row>
    <row r="1234" spans="1:12" ht="15">
      <c r="A1234" s="81" t="s">
        <v>2221</v>
      </c>
      <c r="B1234" s="80" t="s">
        <v>3342</v>
      </c>
      <c r="C1234" s="80">
        <v>2</v>
      </c>
      <c r="D1234" s="104">
        <v>0.0012431323652750766</v>
      </c>
      <c r="E1234" s="104">
        <v>2.1122697684172707</v>
      </c>
      <c r="F1234" s="80" t="s">
        <v>2185</v>
      </c>
      <c r="G1234" s="80" t="b">
        <v>0</v>
      </c>
      <c r="H1234" s="80" t="b">
        <v>0</v>
      </c>
      <c r="I1234" s="80" t="b">
        <v>0</v>
      </c>
      <c r="J1234" s="80" t="b">
        <v>0</v>
      </c>
      <c r="K1234" s="80" t="b">
        <v>0</v>
      </c>
      <c r="L1234" s="80" t="b">
        <v>0</v>
      </c>
    </row>
    <row r="1235" spans="1:12" ht="15">
      <c r="A1235" s="81" t="s">
        <v>2290</v>
      </c>
      <c r="B1235" s="80" t="s">
        <v>2230</v>
      </c>
      <c r="C1235" s="80">
        <v>2</v>
      </c>
      <c r="D1235" s="104">
        <v>0.0012431323652750766</v>
      </c>
      <c r="E1235" s="104">
        <v>1.693140460675295</v>
      </c>
      <c r="F1235" s="80" t="s">
        <v>2185</v>
      </c>
      <c r="G1235" s="80" t="b">
        <v>0</v>
      </c>
      <c r="H1235" s="80" t="b">
        <v>0</v>
      </c>
      <c r="I1235" s="80" t="b">
        <v>0</v>
      </c>
      <c r="J1235" s="80" t="b">
        <v>0</v>
      </c>
      <c r="K1235" s="80" t="b">
        <v>0</v>
      </c>
      <c r="L1235" s="80" t="b">
        <v>0</v>
      </c>
    </row>
    <row r="1236" spans="1:12" ht="15">
      <c r="A1236" s="81" t="s">
        <v>2219</v>
      </c>
      <c r="B1236" s="80" t="s">
        <v>2313</v>
      </c>
      <c r="C1236" s="80">
        <v>2</v>
      </c>
      <c r="D1236" s="104">
        <v>0.0012431323652750766</v>
      </c>
      <c r="E1236" s="104">
        <v>2.1914510144648958</v>
      </c>
      <c r="F1236" s="80" t="s">
        <v>2185</v>
      </c>
      <c r="G1236" s="80" t="b">
        <v>0</v>
      </c>
      <c r="H1236" s="80" t="b">
        <v>0</v>
      </c>
      <c r="I1236" s="80" t="b">
        <v>0</v>
      </c>
      <c r="J1236" s="80" t="b">
        <v>0</v>
      </c>
      <c r="K1236" s="80" t="b">
        <v>0</v>
      </c>
      <c r="L1236" s="80" t="b">
        <v>0</v>
      </c>
    </row>
    <row r="1237" spans="1:12" ht="15">
      <c r="A1237" s="81" t="s">
        <v>3362</v>
      </c>
      <c r="B1237" s="80" t="s">
        <v>2804</v>
      </c>
      <c r="C1237" s="80">
        <v>2</v>
      </c>
      <c r="D1237" s="104">
        <v>0.0012431323652750766</v>
      </c>
      <c r="E1237" s="104">
        <v>2.890421018800914</v>
      </c>
      <c r="F1237" s="80" t="s">
        <v>2185</v>
      </c>
      <c r="G1237" s="80" t="b">
        <v>0</v>
      </c>
      <c r="H1237" s="80" t="b">
        <v>0</v>
      </c>
      <c r="I1237" s="80" t="b">
        <v>0</v>
      </c>
      <c r="J1237" s="80" t="b">
        <v>0</v>
      </c>
      <c r="K1237" s="80" t="b">
        <v>0</v>
      </c>
      <c r="L1237" s="80" t="b">
        <v>0</v>
      </c>
    </row>
    <row r="1238" spans="1:12" ht="15">
      <c r="A1238" s="81" t="s">
        <v>2618</v>
      </c>
      <c r="B1238" s="80" t="s">
        <v>2616</v>
      </c>
      <c r="C1238" s="80">
        <v>2</v>
      </c>
      <c r="D1238" s="104">
        <v>0.0012431323652750766</v>
      </c>
      <c r="E1238" s="104">
        <v>2.890421018800914</v>
      </c>
      <c r="F1238" s="80" t="s">
        <v>2185</v>
      </c>
      <c r="G1238" s="80" t="b">
        <v>0</v>
      </c>
      <c r="H1238" s="80" t="b">
        <v>0</v>
      </c>
      <c r="I1238" s="80" t="b">
        <v>0</v>
      </c>
      <c r="J1238" s="80" t="b">
        <v>0</v>
      </c>
      <c r="K1238" s="80" t="b">
        <v>0</v>
      </c>
      <c r="L1238" s="80" t="b">
        <v>0</v>
      </c>
    </row>
    <row r="1239" spans="1:12" ht="15">
      <c r="A1239" s="81" t="s">
        <v>2229</v>
      </c>
      <c r="B1239" s="80" t="s">
        <v>2270</v>
      </c>
      <c r="C1239" s="80">
        <v>2</v>
      </c>
      <c r="D1239" s="104">
        <v>0.0012431323652750766</v>
      </c>
      <c r="E1239" s="104">
        <v>2.1122697684172707</v>
      </c>
      <c r="F1239" s="80" t="s">
        <v>2185</v>
      </c>
      <c r="G1239" s="80" t="b">
        <v>0</v>
      </c>
      <c r="H1239" s="80" t="b">
        <v>0</v>
      </c>
      <c r="I1239" s="80" t="b">
        <v>0</v>
      </c>
      <c r="J1239" s="80" t="b">
        <v>0</v>
      </c>
      <c r="K1239" s="80" t="b">
        <v>0</v>
      </c>
      <c r="L1239" s="80" t="b">
        <v>0</v>
      </c>
    </row>
    <row r="1240" spans="1:12" ht="15">
      <c r="A1240" s="81" t="s">
        <v>2892</v>
      </c>
      <c r="B1240" s="80" t="s">
        <v>2910</v>
      </c>
      <c r="C1240" s="80">
        <v>2</v>
      </c>
      <c r="D1240" s="104">
        <v>0.0016258787043265466</v>
      </c>
      <c r="E1240" s="104">
        <v>2.890421018800914</v>
      </c>
      <c r="F1240" s="80" t="s">
        <v>2185</v>
      </c>
      <c r="G1240" s="80" t="b">
        <v>0</v>
      </c>
      <c r="H1240" s="80" t="b">
        <v>0</v>
      </c>
      <c r="I1240" s="80" t="b">
        <v>0</v>
      </c>
      <c r="J1240" s="80" t="b">
        <v>0</v>
      </c>
      <c r="K1240" s="80" t="b">
        <v>0</v>
      </c>
      <c r="L1240" s="80" t="b">
        <v>0</v>
      </c>
    </row>
    <row r="1241" spans="1:12" ht="15">
      <c r="A1241" s="81" t="s">
        <v>2237</v>
      </c>
      <c r="B1241" s="80" t="s">
        <v>2308</v>
      </c>
      <c r="C1241" s="80">
        <v>2</v>
      </c>
      <c r="D1241" s="104">
        <v>0.0016258787043265466</v>
      </c>
      <c r="E1241" s="104">
        <v>1.8904210188009143</v>
      </c>
      <c r="F1241" s="80" t="s">
        <v>2185</v>
      </c>
      <c r="G1241" s="80" t="b">
        <v>0</v>
      </c>
      <c r="H1241" s="80" t="b">
        <v>0</v>
      </c>
      <c r="I1241" s="80" t="b">
        <v>0</v>
      </c>
      <c r="J1241" s="80" t="b">
        <v>0</v>
      </c>
      <c r="K1241" s="80" t="b">
        <v>0</v>
      </c>
      <c r="L1241" s="80" t="b">
        <v>0</v>
      </c>
    </row>
    <row r="1242" spans="1:12" ht="15">
      <c r="A1242" s="81" t="s">
        <v>3147</v>
      </c>
      <c r="B1242" s="80" t="s">
        <v>2242</v>
      </c>
      <c r="C1242" s="80">
        <v>2</v>
      </c>
      <c r="D1242" s="104">
        <v>0.0012431323652750766</v>
      </c>
      <c r="E1242" s="104">
        <v>2.1500583293066704</v>
      </c>
      <c r="F1242" s="80" t="s">
        <v>2185</v>
      </c>
      <c r="G1242" s="80" t="b">
        <v>0</v>
      </c>
      <c r="H1242" s="80" t="b">
        <v>0</v>
      </c>
      <c r="I1242" s="80" t="b">
        <v>0</v>
      </c>
      <c r="J1242" s="80" t="b">
        <v>0</v>
      </c>
      <c r="K1242" s="80" t="b">
        <v>0</v>
      </c>
      <c r="L1242" s="80" t="b">
        <v>0</v>
      </c>
    </row>
    <row r="1243" spans="1:12" ht="15">
      <c r="A1243" s="81" t="s">
        <v>2330</v>
      </c>
      <c r="B1243" s="80" t="s">
        <v>2214</v>
      </c>
      <c r="C1243" s="80">
        <v>2</v>
      </c>
      <c r="D1243" s="104">
        <v>0.0012431323652750766</v>
      </c>
      <c r="E1243" s="104">
        <v>1.1288690302367324</v>
      </c>
      <c r="F1243" s="80" t="s">
        <v>2185</v>
      </c>
      <c r="G1243" s="80" t="b">
        <v>0</v>
      </c>
      <c r="H1243" s="80" t="b">
        <v>0</v>
      </c>
      <c r="I1243" s="80" t="b">
        <v>0</v>
      </c>
      <c r="J1243" s="80" t="b">
        <v>0</v>
      </c>
      <c r="K1243" s="80" t="b">
        <v>0</v>
      </c>
      <c r="L1243" s="80" t="b">
        <v>0</v>
      </c>
    </row>
    <row r="1244" spans="1:12" ht="15">
      <c r="A1244" s="81" t="s">
        <v>3343</v>
      </c>
      <c r="B1244" s="80" t="s">
        <v>2220</v>
      </c>
      <c r="C1244" s="80">
        <v>2</v>
      </c>
      <c r="D1244" s="104">
        <v>0.0012431323652750766</v>
      </c>
      <c r="E1244" s="104">
        <v>2.4924810101288766</v>
      </c>
      <c r="F1244" s="80" t="s">
        <v>2185</v>
      </c>
      <c r="G1244" s="80" t="b">
        <v>0</v>
      </c>
      <c r="H1244" s="80" t="b">
        <v>0</v>
      </c>
      <c r="I1244" s="80" t="b">
        <v>0</v>
      </c>
      <c r="J1244" s="80" t="b">
        <v>0</v>
      </c>
      <c r="K1244" s="80" t="b">
        <v>0</v>
      </c>
      <c r="L1244" s="80" t="b">
        <v>0</v>
      </c>
    </row>
    <row r="1245" spans="1:12" ht="15">
      <c r="A1245" s="81" t="s">
        <v>2313</v>
      </c>
      <c r="B1245" s="80" t="s">
        <v>2310</v>
      </c>
      <c r="C1245" s="80">
        <v>2</v>
      </c>
      <c r="D1245" s="104">
        <v>0.0012431323652750766</v>
      </c>
      <c r="E1245" s="104">
        <v>2.890421018800914</v>
      </c>
      <c r="F1245" s="80" t="s">
        <v>2185</v>
      </c>
      <c r="G1245" s="80" t="b">
        <v>0</v>
      </c>
      <c r="H1245" s="80" t="b">
        <v>0</v>
      </c>
      <c r="I1245" s="80" t="b">
        <v>0</v>
      </c>
      <c r="J1245" s="80" t="b">
        <v>0</v>
      </c>
      <c r="K1245" s="80" t="b">
        <v>0</v>
      </c>
      <c r="L1245" s="80" t="b">
        <v>0</v>
      </c>
    </row>
    <row r="1246" spans="1:12" ht="15">
      <c r="A1246" s="81" t="s">
        <v>2279</v>
      </c>
      <c r="B1246" s="80" t="s">
        <v>2213</v>
      </c>
      <c r="C1246" s="80">
        <v>2</v>
      </c>
      <c r="D1246" s="104">
        <v>0.0012431323652750766</v>
      </c>
      <c r="E1246" s="104">
        <v>1.3463529744506386</v>
      </c>
      <c r="F1246" s="80" t="s">
        <v>2185</v>
      </c>
      <c r="G1246" s="80" t="b">
        <v>0</v>
      </c>
      <c r="H1246" s="80" t="b">
        <v>0</v>
      </c>
      <c r="I1246" s="80" t="b">
        <v>0</v>
      </c>
      <c r="J1246" s="80" t="b">
        <v>0</v>
      </c>
      <c r="K1246" s="80" t="b">
        <v>0</v>
      </c>
      <c r="L1246" s="80" t="b">
        <v>0</v>
      </c>
    </row>
    <row r="1247" spans="1:12" ht="15">
      <c r="A1247" s="81" t="s">
        <v>2339</v>
      </c>
      <c r="B1247" s="80" t="s">
        <v>2892</v>
      </c>
      <c r="C1247" s="80">
        <v>2</v>
      </c>
      <c r="D1247" s="104">
        <v>0.0016258787043265466</v>
      </c>
      <c r="E1247" s="104">
        <v>2.346352974450639</v>
      </c>
      <c r="F1247" s="80" t="s">
        <v>2185</v>
      </c>
      <c r="G1247" s="80" t="b">
        <v>0</v>
      </c>
      <c r="H1247" s="80" t="b">
        <v>0</v>
      </c>
      <c r="I1247" s="80" t="b">
        <v>0</v>
      </c>
      <c r="J1247" s="80" t="b">
        <v>0</v>
      </c>
      <c r="K1247" s="80" t="b">
        <v>0</v>
      </c>
      <c r="L1247" s="80" t="b">
        <v>0</v>
      </c>
    </row>
    <row r="1248" spans="1:12" ht="15">
      <c r="A1248" s="81" t="s">
        <v>2826</v>
      </c>
      <c r="B1248" s="80" t="s">
        <v>2248</v>
      </c>
      <c r="C1248" s="80">
        <v>2</v>
      </c>
      <c r="D1248" s="104">
        <v>0.0016258787043265466</v>
      </c>
      <c r="E1248" s="104">
        <v>1.9610020930866214</v>
      </c>
      <c r="F1248" s="80" t="s">
        <v>2185</v>
      </c>
      <c r="G1248" s="80" t="b">
        <v>0</v>
      </c>
      <c r="H1248" s="80" t="b">
        <v>0</v>
      </c>
      <c r="I1248" s="80" t="b">
        <v>0</v>
      </c>
      <c r="J1248" s="80" t="b">
        <v>0</v>
      </c>
      <c r="K1248" s="80" t="b">
        <v>0</v>
      </c>
      <c r="L1248" s="80" t="b">
        <v>0</v>
      </c>
    </row>
    <row r="1249" spans="1:12" ht="15">
      <c r="A1249" s="81" t="s">
        <v>2841</v>
      </c>
      <c r="B1249" s="80" t="s">
        <v>2291</v>
      </c>
      <c r="C1249" s="80">
        <v>2</v>
      </c>
      <c r="D1249" s="104">
        <v>0.0012431323652750766</v>
      </c>
      <c r="E1249" s="104">
        <v>2.5893910231369333</v>
      </c>
      <c r="F1249" s="80" t="s">
        <v>2185</v>
      </c>
      <c r="G1249" s="80" t="b">
        <v>0</v>
      </c>
      <c r="H1249" s="80" t="b">
        <v>0</v>
      </c>
      <c r="I1249" s="80" t="b">
        <v>0</v>
      </c>
      <c r="J1249" s="80" t="b">
        <v>0</v>
      </c>
      <c r="K1249" s="80" t="b">
        <v>0</v>
      </c>
      <c r="L1249" s="80" t="b">
        <v>0</v>
      </c>
    </row>
    <row r="1250" spans="1:12" ht="15">
      <c r="A1250" s="81" t="s">
        <v>2941</v>
      </c>
      <c r="B1250" s="80" t="s">
        <v>2339</v>
      </c>
      <c r="C1250" s="80">
        <v>2</v>
      </c>
      <c r="D1250" s="104">
        <v>0.0016258787043265466</v>
      </c>
      <c r="E1250" s="104">
        <v>2.346352974450639</v>
      </c>
      <c r="F1250" s="80" t="s">
        <v>2185</v>
      </c>
      <c r="G1250" s="80" t="b">
        <v>0</v>
      </c>
      <c r="H1250" s="80" t="b">
        <v>0</v>
      </c>
      <c r="I1250" s="80" t="b">
        <v>0</v>
      </c>
      <c r="J1250" s="80" t="b">
        <v>0</v>
      </c>
      <c r="K1250" s="80" t="b">
        <v>0</v>
      </c>
      <c r="L1250" s="80" t="b">
        <v>0</v>
      </c>
    </row>
    <row r="1251" spans="1:12" ht="15">
      <c r="A1251" s="81" t="s">
        <v>2306</v>
      </c>
      <c r="B1251" s="80" t="s">
        <v>2312</v>
      </c>
      <c r="C1251" s="80">
        <v>2</v>
      </c>
      <c r="D1251" s="104">
        <v>0.0012431323652750766</v>
      </c>
      <c r="E1251" s="104">
        <v>2.890421018800914</v>
      </c>
      <c r="F1251" s="80" t="s">
        <v>2185</v>
      </c>
      <c r="G1251" s="80" t="b">
        <v>0</v>
      </c>
      <c r="H1251" s="80" t="b">
        <v>0</v>
      </c>
      <c r="I1251" s="80" t="b">
        <v>0</v>
      </c>
      <c r="J1251" s="80" t="b">
        <v>0</v>
      </c>
      <c r="K1251" s="80" t="b">
        <v>0</v>
      </c>
      <c r="L1251" s="80" t="b">
        <v>0</v>
      </c>
    </row>
    <row r="1252" spans="1:12" ht="15">
      <c r="A1252" s="81" t="s">
        <v>2458</v>
      </c>
      <c r="B1252" s="80" t="s">
        <v>2366</v>
      </c>
      <c r="C1252" s="80">
        <v>2</v>
      </c>
      <c r="D1252" s="104">
        <v>0.0012431323652750766</v>
      </c>
      <c r="E1252" s="104">
        <v>2.538238500689552</v>
      </c>
      <c r="F1252" s="80" t="s">
        <v>2185</v>
      </c>
      <c r="G1252" s="80" t="b">
        <v>0</v>
      </c>
      <c r="H1252" s="80" t="b">
        <v>0</v>
      </c>
      <c r="I1252" s="80" t="b">
        <v>0</v>
      </c>
      <c r="J1252" s="80" t="b">
        <v>0</v>
      </c>
      <c r="K1252" s="80" t="b">
        <v>0</v>
      </c>
      <c r="L1252" s="80" t="b">
        <v>0</v>
      </c>
    </row>
    <row r="1253" spans="1:12" ht="15">
      <c r="A1253" s="81" t="s">
        <v>2216</v>
      </c>
      <c r="B1253" s="80" t="s">
        <v>2882</v>
      </c>
      <c r="C1253" s="80">
        <v>2</v>
      </c>
      <c r="D1253" s="104">
        <v>0.0012431323652750766</v>
      </c>
      <c r="E1253" s="104">
        <v>1.869231719730976</v>
      </c>
      <c r="F1253" s="80" t="s">
        <v>2185</v>
      </c>
      <c r="G1253" s="80" t="b">
        <v>0</v>
      </c>
      <c r="H1253" s="80" t="b">
        <v>0</v>
      </c>
      <c r="I1253" s="80" t="b">
        <v>0</v>
      </c>
      <c r="J1253" s="80" t="b">
        <v>0</v>
      </c>
      <c r="K1253" s="80" t="b">
        <v>0</v>
      </c>
      <c r="L1253" s="80" t="b">
        <v>0</v>
      </c>
    </row>
    <row r="1254" spans="1:12" ht="15">
      <c r="A1254" s="81" t="s">
        <v>2223</v>
      </c>
      <c r="B1254" s="80" t="s">
        <v>3307</v>
      </c>
      <c r="C1254" s="80">
        <v>2</v>
      </c>
      <c r="D1254" s="104">
        <v>0.0016258787043265466</v>
      </c>
      <c r="E1254" s="104">
        <v>1.672937074587008</v>
      </c>
      <c r="F1254" s="80" t="s">
        <v>2185</v>
      </c>
      <c r="G1254" s="80" t="b">
        <v>0</v>
      </c>
      <c r="H1254" s="80" t="b">
        <v>0</v>
      </c>
      <c r="I1254" s="80" t="b">
        <v>0</v>
      </c>
      <c r="J1254" s="80" t="b">
        <v>0</v>
      </c>
      <c r="K1254" s="80" t="b">
        <v>0</v>
      </c>
      <c r="L1254" s="80" t="b">
        <v>0</v>
      </c>
    </row>
    <row r="1255" spans="1:12" ht="15">
      <c r="A1255" s="81" t="s">
        <v>2220</v>
      </c>
      <c r="B1255" s="80" t="s">
        <v>2219</v>
      </c>
      <c r="C1255" s="80">
        <v>2</v>
      </c>
      <c r="D1255" s="104">
        <v>0.0012431323652750766</v>
      </c>
      <c r="E1255" s="104">
        <v>1.7935110057928578</v>
      </c>
      <c r="F1255" s="80" t="s">
        <v>2185</v>
      </c>
      <c r="G1255" s="80" t="b">
        <v>0</v>
      </c>
      <c r="H1255" s="80" t="b">
        <v>0</v>
      </c>
      <c r="I1255" s="80" t="b">
        <v>0</v>
      </c>
      <c r="J1255" s="80" t="b">
        <v>0</v>
      </c>
      <c r="K1255" s="80" t="b">
        <v>0</v>
      </c>
      <c r="L1255" s="80" t="b">
        <v>0</v>
      </c>
    </row>
    <row r="1256" spans="1:12" ht="15">
      <c r="A1256" s="81" t="s">
        <v>2277</v>
      </c>
      <c r="B1256" s="80" t="s">
        <v>2904</v>
      </c>
      <c r="C1256" s="80">
        <v>2</v>
      </c>
      <c r="D1256" s="104">
        <v>0.0012431323652750766</v>
      </c>
      <c r="E1256" s="104">
        <v>2.0153597554092144</v>
      </c>
      <c r="F1256" s="80" t="s">
        <v>2185</v>
      </c>
      <c r="G1256" s="80" t="b">
        <v>0</v>
      </c>
      <c r="H1256" s="80" t="b">
        <v>0</v>
      </c>
      <c r="I1256" s="80" t="b">
        <v>0</v>
      </c>
      <c r="J1256" s="80" t="b">
        <v>0</v>
      </c>
      <c r="K1256" s="80" t="b">
        <v>0</v>
      </c>
      <c r="L1256" s="80" t="b">
        <v>0</v>
      </c>
    </row>
    <row r="1257" spans="1:12" ht="15">
      <c r="A1257" s="81" t="s">
        <v>2226</v>
      </c>
      <c r="B1257" s="80" t="s">
        <v>2275</v>
      </c>
      <c r="C1257" s="80">
        <v>2</v>
      </c>
      <c r="D1257" s="104">
        <v>0.0012431323652750766</v>
      </c>
      <c r="E1257" s="104">
        <v>1.5382385006895518</v>
      </c>
      <c r="F1257" s="80" t="s">
        <v>2185</v>
      </c>
      <c r="G1257" s="80" t="b">
        <v>0</v>
      </c>
      <c r="H1257" s="80" t="b">
        <v>0</v>
      </c>
      <c r="I1257" s="80" t="b">
        <v>0</v>
      </c>
      <c r="J1257" s="80" t="b">
        <v>0</v>
      </c>
      <c r="K1257" s="80" t="b">
        <v>0</v>
      </c>
      <c r="L1257" s="80" t="b">
        <v>0</v>
      </c>
    </row>
    <row r="1258" spans="1:12" ht="15">
      <c r="A1258" s="81" t="s">
        <v>2315</v>
      </c>
      <c r="B1258" s="80" t="s">
        <v>2302</v>
      </c>
      <c r="C1258" s="80">
        <v>2</v>
      </c>
      <c r="D1258" s="104">
        <v>0.0012431323652750766</v>
      </c>
      <c r="E1258" s="104">
        <v>2.890421018800914</v>
      </c>
      <c r="F1258" s="80" t="s">
        <v>2185</v>
      </c>
      <c r="G1258" s="80" t="b">
        <v>0</v>
      </c>
      <c r="H1258" s="80" t="b">
        <v>0</v>
      </c>
      <c r="I1258" s="80" t="b">
        <v>0</v>
      </c>
      <c r="J1258" s="80" t="b">
        <v>0</v>
      </c>
      <c r="K1258" s="80" t="b">
        <v>0</v>
      </c>
      <c r="L1258" s="80" t="b">
        <v>0</v>
      </c>
    </row>
    <row r="1259" spans="1:12" ht="15">
      <c r="A1259" s="81" t="s">
        <v>2332</v>
      </c>
      <c r="B1259" s="80" t="s">
        <v>2230</v>
      </c>
      <c r="C1259" s="80">
        <v>2</v>
      </c>
      <c r="D1259" s="104">
        <v>0.0012431323652750766</v>
      </c>
      <c r="E1259" s="104">
        <v>1.5382385006895518</v>
      </c>
      <c r="F1259" s="80" t="s">
        <v>2185</v>
      </c>
      <c r="G1259" s="80" t="b">
        <v>0</v>
      </c>
      <c r="H1259" s="80" t="b">
        <v>0</v>
      </c>
      <c r="I1259" s="80" t="b">
        <v>0</v>
      </c>
      <c r="J1259" s="80" t="b">
        <v>0</v>
      </c>
      <c r="K1259" s="80" t="b">
        <v>0</v>
      </c>
      <c r="L1259" s="80" t="b">
        <v>0</v>
      </c>
    </row>
    <row r="1260" spans="1:12" ht="15">
      <c r="A1260" s="81" t="s">
        <v>3342</v>
      </c>
      <c r="B1260" s="80" t="s">
        <v>2254</v>
      </c>
      <c r="C1260" s="80">
        <v>2</v>
      </c>
      <c r="D1260" s="104">
        <v>0.0012431323652750766</v>
      </c>
      <c r="E1260" s="104">
        <v>2.5893910231369333</v>
      </c>
      <c r="F1260" s="80" t="s">
        <v>2185</v>
      </c>
      <c r="G1260" s="80" t="b">
        <v>0</v>
      </c>
      <c r="H1260" s="80" t="b">
        <v>0</v>
      </c>
      <c r="I1260" s="80" t="b">
        <v>0</v>
      </c>
      <c r="J1260" s="80" t="b">
        <v>0</v>
      </c>
      <c r="K1260" s="80" t="b">
        <v>0</v>
      </c>
      <c r="L1260" s="80" t="b">
        <v>0</v>
      </c>
    </row>
    <row r="1261" spans="1:12" ht="15">
      <c r="A1261" s="81" t="s">
        <v>2214</v>
      </c>
      <c r="B1261" s="80" t="s">
        <v>2560</v>
      </c>
      <c r="C1261" s="80">
        <v>2</v>
      </c>
      <c r="D1261" s="104">
        <v>0.0012431323652750766</v>
      </c>
      <c r="E1261" s="104">
        <v>1.2749970659149705</v>
      </c>
      <c r="F1261" s="80" t="s">
        <v>2185</v>
      </c>
      <c r="G1261" s="80" t="b">
        <v>0</v>
      </c>
      <c r="H1261" s="80" t="b">
        <v>0</v>
      </c>
      <c r="I1261" s="80" t="b">
        <v>0</v>
      </c>
      <c r="J1261" s="80" t="b">
        <v>0</v>
      </c>
      <c r="K1261" s="80" t="b">
        <v>0</v>
      </c>
      <c r="L1261" s="80" t="b">
        <v>0</v>
      </c>
    </row>
    <row r="1262" spans="1:12" ht="15">
      <c r="A1262" s="81" t="s">
        <v>3187</v>
      </c>
      <c r="B1262" s="80" t="s">
        <v>2890</v>
      </c>
      <c r="C1262" s="80">
        <v>2</v>
      </c>
      <c r="D1262" s="104">
        <v>0.0012431323652750766</v>
      </c>
      <c r="E1262" s="104">
        <v>2.890421018800914</v>
      </c>
      <c r="F1262" s="80" t="s">
        <v>2185</v>
      </c>
      <c r="G1262" s="80" t="b">
        <v>0</v>
      </c>
      <c r="H1262" s="80" t="b">
        <v>0</v>
      </c>
      <c r="I1262" s="80" t="b">
        <v>0</v>
      </c>
      <c r="J1262" s="80" t="b">
        <v>0</v>
      </c>
      <c r="K1262" s="80" t="b">
        <v>0</v>
      </c>
      <c r="L1262" s="80" t="b">
        <v>0</v>
      </c>
    </row>
    <row r="1263" spans="1:12" ht="15">
      <c r="A1263" s="81" t="s">
        <v>2404</v>
      </c>
      <c r="B1263" s="80" t="s">
        <v>2403</v>
      </c>
      <c r="C1263" s="80">
        <v>2</v>
      </c>
      <c r="D1263" s="104">
        <v>0.0012431323652750766</v>
      </c>
      <c r="E1263" s="104">
        <v>2.714329759745233</v>
      </c>
      <c r="F1263" s="80" t="s">
        <v>2185</v>
      </c>
      <c r="G1263" s="80" t="b">
        <v>0</v>
      </c>
      <c r="H1263" s="80" t="b">
        <v>0</v>
      </c>
      <c r="I1263" s="80" t="b">
        <v>0</v>
      </c>
      <c r="J1263" s="80" t="b">
        <v>0</v>
      </c>
      <c r="K1263" s="80" t="b">
        <v>0</v>
      </c>
      <c r="L1263" s="80" t="b">
        <v>0</v>
      </c>
    </row>
    <row r="1264" spans="1:12" ht="15">
      <c r="A1264" s="81" t="s">
        <v>2910</v>
      </c>
      <c r="B1264" s="80" t="s">
        <v>2237</v>
      </c>
      <c r="C1264" s="80">
        <v>2</v>
      </c>
      <c r="D1264" s="104">
        <v>0.0016258787043265466</v>
      </c>
      <c r="E1264" s="104">
        <v>2.288361027472952</v>
      </c>
      <c r="F1264" s="80" t="s">
        <v>2185</v>
      </c>
      <c r="G1264" s="80" t="b">
        <v>0</v>
      </c>
      <c r="H1264" s="80" t="b">
        <v>0</v>
      </c>
      <c r="I1264" s="80" t="b">
        <v>0</v>
      </c>
      <c r="J1264" s="80" t="b">
        <v>0</v>
      </c>
      <c r="K1264" s="80" t="b">
        <v>0</v>
      </c>
      <c r="L1264" s="80" t="b">
        <v>0</v>
      </c>
    </row>
    <row r="1265" spans="1:12" ht="15">
      <c r="A1265" s="81" t="s">
        <v>2215</v>
      </c>
      <c r="B1265" s="80" t="s">
        <v>2240</v>
      </c>
      <c r="C1265" s="80">
        <v>2</v>
      </c>
      <c r="D1265" s="104">
        <v>0.0012431323652750766</v>
      </c>
      <c r="E1265" s="104">
        <v>1.869231719730976</v>
      </c>
      <c r="F1265" s="80" t="s">
        <v>2185</v>
      </c>
      <c r="G1265" s="80" t="b">
        <v>0</v>
      </c>
      <c r="H1265" s="80" t="b">
        <v>0</v>
      </c>
      <c r="I1265" s="80" t="b">
        <v>0</v>
      </c>
      <c r="J1265" s="80" t="b">
        <v>0</v>
      </c>
      <c r="K1265" s="80" t="b">
        <v>0</v>
      </c>
      <c r="L1265" s="80" t="b">
        <v>0</v>
      </c>
    </row>
    <row r="1266" spans="1:12" ht="15">
      <c r="A1266" s="81" t="s">
        <v>2273</v>
      </c>
      <c r="B1266" s="80" t="s">
        <v>2243</v>
      </c>
      <c r="C1266" s="80">
        <v>2</v>
      </c>
      <c r="D1266" s="104">
        <v>0.0016258787043265466</v>
      </c>
      <c r="E1266" s="104">
        <v>1.7600872503059082</v>
      </c>
      <c r="F1266" s="80" t="s">
        <v>2185</v>
      </c>
      <c r="G1266" s="80" t="b">
        <v>1</v>
      </c>
      <c r="H1266" s="80" t="b">
        <v>0</v>
      </c>
      <c r="I1266" s="80" t="b">
        <v>0</v>
      </c>
      <c r="J1266" s="80" t="b">
        <v>0</v>
      </c>
      <c r="K1266" s="80" t="b">
        <v>0</v>
      </c>
      <c r="L1266" s="80" t="b">
        <v>0</v>
      </c>
    </row>
    <row r="1267" spans="1:12" ht="15">
      <c r="A1267" s="81" t="s">
        <v>2655</v>
      </c>
      <c r="B1267" s="80" t="s">
        <v>2325</v>
      </c>
      <c r="C1267" s="80">
        <v>2</v>
      </c>
      <c r="D1267" s="104">
        <v>0.0016258787043265466</v>
      </c>
      <c r="E1267" s="104">
        <v>2.288361027472952</v>
      </c>
      <c r="F1267" s="80" t="s">
        <v>2185</v>
      </c>
      <c r="G1267" s="80" t="b">
        <v>0</v>
      </c>
      <c r="H1267" s="80" t="b">
        <v>0</v>
      </c>
      <c r="I1267" s="80" t="b">
        <v>0</v>
      </c>
      <c r="J1267" s="80" t="b">
        <v>0</v>
      </c>
      <c r="K1267" s="80" t="b">
        <v>0</v>
      </c>
      <c r="L1267" s="80" t="b">
        <v>0</v>
      </c>
    </row>
    <row r="1268" spans="1:12" ht="15">
      <c r="A1268" s="81" t="s">
        <v>2297</v>
      </c>
      <c r="B1268" s="80" t="s">
        <v>2219</v>
      </c>
      <c r="C1268" s="80">
        <v>2</v>
      </c>
      <c r="D1268" s="104">
        <v>0.0016258787043265466</v>
      </c>
      <c r="E1268" s="104">
        <v>1.6473829701146199</v>
      </c>
      <c r="F1268" s="80" t="s">
        <v>2185</v>
      </c>
      <c r="G1268" s="80" t="b">
        <v>0</v>
      </c>
      <c r="H1268" s="80" t="b">
        <v>0</v>
      </c>
      <c r="I1268" s="80" t="b">
        <v>0</v>
      </c>
      <c r="J1268" s="80" t="b">
        <v>0</v>
      </c>
      <c r="K1268" s="80" t="b">
        <v>0</v>
      </c>
      <c r="L1268" s="80" t="b">
        <v>0</v>
      </c>
    </row>
    <row r="1269" spans="1:12" ht="15">
      <c r="A1269" s="81" t="s">
        <v>2290</v>
      </c>
      <c r="B1269" s="80" t="s">
        <v>2271</v>
      </c>
      <c r="C1269" s="80">
        <v>2</v>
      </c>
      <c r="D1269" s="104">
        <v>0.0012431323652750766</v>
      </c>
      <c r="E1269" s="104">
        <v>1.9484129657786011</v>
      </c>
      <c r="F1269" s="80" t="s">
        <v>2185</v>
      </c>
      <c r="G1269" s="80" t="b">
        <v>0</v>
      </c>
      <c r="H1269" s="80" t="b">
        <v>0</v>
      </c>
      <c r="I1269" s="80" t="b">
        <v>0</v>
      </c>
      <c r="J1269" s="80" t="b">
        <v>0</v>
      </c>
      <c r="K1269" s="80" t="b">
        <v>0</v>
      </c>
      <c r="L1269" s="80" t="b">
        <v>0</v>
      </c>
    </row>
    <row r="1270" spans="1:12" ht="15">
      <c r="A1270" s="81" t="s">
        <v>2233</v>
      </c>
      <c r="B1270" s="80" t="s">
        <v>2407</v>
      </c>
      <c r="C1270" s="80">
        <v>2</v>
      </c>
      <c r="D1270" s="104">
        <v>0.0012431323652750766</v>
      </c>
      <c r="E1270" s="104">
        <v>1.8904210188009143</v>
      </c>
      <c r="F1270" s="80" t="s">
        <v>2185</v>
      </c>
      <c r="G1270" s="80" t="b">
        <v>0</v>
      </c>
      <c r="H1270" s="80" t="b">
        <v>0</v>
      </c>
      <c r="I1270" s="80" t="b">
        <v>0</v>
      </c>
      <c r="J1270" s="80" t="b">
        <v>0</v>
      </c>
      <c r="K1270" s="80" t="b">
        <v>0</v>
      </c>
      <c r="L1270" s="80" t="b">
        <v>0</v>
      </c>
    </row>
    <row r="1271" spans="1:12" ht="15">
      <c r="A1271" s="81" t="s">
        <v>2357</v>
      </c>
      <c r="B1271" s="80" t="s">
        <v>2325</v>
      </c>
      <c r="C1271" s="80">
        <v>2</v>
      </c>
      <c r="D1271" s="104">
        <v>0.0012431323652750766</v>
      </c>
      <c r="E1271" s="104">
        <v>2.5893910231369333</v>
      </c>
      <c r="F1271" s="80" t="s">
        <v>2185</v>
      </c>
      <c r="G1271" s="80" t="b">
        <v>0</v>
      </c>
      <c r="H1271" s="80" t="b">
        <v>0</v>
      </c>
      <c r="I1271" s="80" t="b">
        <v>0</v>
      </c>
      <c r="J1271" s="80" t="b">
        <v>0</v>
      </c>
      <c r="K1271" s="80" t="b">
        <v>0</v>
      </c>
      <c r="L1271" s="80" t="b">
        <v>0</v>
      </c>
    </row>
    <row r="1272" spans="1:12" ht="15">
      <c r="A1272" s="81" t="s">
        <v>2354</v>
      </c>
      <c r="B1272" s="80" t="s">
        <v>3362</v>
      </c>
      <c r="C1272" s="80">
        <v>2</v>
      </c>
      <c r="D1272" s="104">
        <v>0.0012431323652750766</v>
      </c>
      <c r="E1272" s="104">
        <v>2.714329759745233</v>
      </c>
      <c r="F1272" s="80" t="s">
        <v>2185</v>
      </c>
      <c r="G1272" s="80" t="b">
        <v>0</v>
      </c>
      <c r="H1272" s="80" t="b">
        <v>0</v>
      </c>
      <c r="I1272" s="80" t="b">
        <v>0</v>
      </c>
      <c r="J1272" s="80" t="b">
        <v>0</v>
      </c>
      <c r="K1272" s="80" t="b">
        <v>0</v>
      </c>
      <c r="L1272" s="80" t="b">
        <v>0</v>
      </c>
    </row>
    <row r="1273" spans="1:12" ht="15">
      <c r="A1273" s="81" t="s">
        <v>2784</v>
      </c>
      <c r="B1273" s="80" t="s">
        <v>3195</v>
      </c>
      <c r="C1273" s="80">
        <v>2</v>
      </c>
      <c r="D1273" s="104">
        <v>0.0016258787043265466</v>
      </c>
      <c r="E1273" s="104">
        <v>2.714329759745233</v>
      </c>
      <c r="F1273" s="80" t="s">
        <v>2185</v>
      </c>
      <c r="G1273" s="80" t="b">
        <v>0</v>
      </c>
      <c r="H1273" s="80" t="b">
        <v>0</v>
      </c>
      <c r="I1273" s="80" t="b">
        <v>0</v>
      </c>
      <c r="J1273" s="80" t="b">
        <v>0</v>
      </c>
      <c r="K1273" s="80" t="b">
        <v>0</v>
      </c>
      <c r="L1273" s="80" t="b">
        <v>0</v>
      </c>
    </row>
    <row r="1274" spans="1:12" ht="15">
      <c r="A1274" s="81" t="s">
        <v>2452</v>
      </c>
      <c r="B1274" s="80" t="s">
        <v>2234</v>
      </c>
      <c r="C1274" s="80">
        <v>2</v>
      </c>
      <c r="D1274" s="104">
        <v>0.0012431323652750766</v>
      </c>
      <c r="E1274" s="104">
        <v>2.5893910231369333</v>
      </c>
      <c r="F1274" s="80" t="s">
        <v>2185</v>
      </c>
      <c r="G1274" s="80" t="b">
        <v>0</v>
      </c>
      <c r="H1274" s="80" t="b">
        <v>0</v>
      </c>
      <c r="I1274" s="80" t="b">
        <v>0</v>
      </c>
      <c r="J1274" s="80" t="b">
        <v>0</v>
      </c>
      <c r="K1274" s="80" t="b">
        <v>0</v>
      </c>
      <c r="L1274" s="80" t="b">
        <v>0</v>
      </c>
    </row>
    <row r="1275" spans="1:12" ht="15">
      <c r="A1275" s="81" t="s">
        <v>2214</v>
      </c>
      <c r="B1275" s="80" t="s">
        <v>2315</v>
      </c>
      <c r="C1275" s="80">
        <v>2</v>
      </c>
      <c r="D1275" s="104">
        <v>0.0012431323652750766</v>
      </c>
      <c r="E1275" s="104">
        <v>1.672937074587008</v>
      </c>
      <c r="F1275" s="80" t="s">
        <v>2185</v>
      </c>
      <c r="G1275" s="80" t="b">
        <v>0</v>
      </c>
      <c r="H1275" s="80" t="b">
        <v>0</v>
      </c>
      <c r="I1275" s="80" t="b">
        <v>0</v>
      </c>
      <c r="J1275" s="80" t="b">
        <v>0</v>
      </c>
      <c r="K1275" s="80" t="b">
        <v>0</v>
      </c>
      <c r="L1275" s="80" t="b">
        <v>0</v>
      </c>
    </row>
    <row r="1276" spans="1:12" ht="15">
      <c r="A1276" s="81" t="s">
        <v>2224</v>
      </c>
      <c r="B1276" s="80" t="s">
        <v>2215</v>
      </c>
      <c r="C1276" s="80">
        <v>2</v>
      </c>
      <c r="D1276" s="104">
        <v>0.0012431323652750766</v>
      </c>
      <c r="E1276" s="104">
        <v>1.568201724066995</v>
      </c>
      <c r="F1276" s="80" t="s">
        <v>2185</v>
      </c>
      <c r="G1276" s="80" t="b">
        <v>0</v>
      </c>
      <c r="H1276" s="80" t="b">
        <v>0</v>
      </c>
      <c r="I1276" s="80" t="b">
        <v>0</v>
      </c>
      <c r="J1276" s="80" t="b">
        <v>0</v>
      </c>
      <c r="K1276" s="80" t="b">
        <v>0</v>
      </c>
      <c r="L1276" s="80" t="b">
        <v>0</v>
      </c>
    </row>
    <row r="1277" spans="1:12" ht="15">
      <c r="A1277" s="81" t="s">
        <v>2233</v>
      </c>
      <c r="B1277" s="80" t="s">
        <v>2455</v>
      </c>
      <c r="C1277" s="80">
        <v>2</v>
      </c>
      <c r="D1277" s="104">
        <v>0.0012431323652750766</v>
      </c>
      <c r="E1277" s="104">
        <v>2.0153597554092144</v>
      </c>
      <c r="F1277" s="80" t="s">
        <v>2185</v>
      </c>
      <c r="G1277" s="80" t="b">
        <v>0</v>
      </c>
      <c r="H1277" s="80" t="b">
        <v>0</v>
      </c>
      <c r="I1277" s="80" t="b">
        <v>0</v>
      </c>
      <c r="J1277" s="80" t="b">
        <v>0</v>
      </c>
      <c r="K1277" s="80" t="b">
        <v>0</v>
      </c>
      <c r="L1277" s="80" t="b">
        <v>0</v>
      </c>
    </row>
    <row r="1278" spans="1:12" ht="15">
      <c r="A1278" s="81" t="s">
        <v>2270</v>
      </c>
      <c r="B1278" s="80" t="s">
        <v>2676</v>
      </c>
      <c r="C1278" s="80">
        <v>2</v>
      </c>
      <c r="D1278" s="104">
        <v>0.0012431323652750766</v>
      </c>
      <c r="E1278" s="104">
        <v>2.413299764081252</v>
      </c>
      <c r="F1278" s="80" t="s">
        <v>2185</v>
      </c>
      <c r="G1278" s="80" t="b">
        <v>0</v>
      </c>
      <c r="H1278" s="80" t="b">
        <v>0</v>
      </c>
      <c r="I1278" s="80" t="b">
        <v>0</v>
      </c>
      <c r="J1278" s="80" t="b">
        <v>0</v>
      </c>
      <c r="K1278" s="80" t="b">
        <v>0</v>
      </c>
      <c r="L1278" s="80" t="b">
        <v>0</v>
      </c>
    </row>
    <row r="1279" spans="1:12" ht="15">
      <c r="A1279" s="81" t="s">
        <v>2288</v>
      </c>
      <c r="B1279" s="80" t="s">
        <v>2299</v>
      </c>
      <c r="C1279" s="80">
        <v>2</v>
      </c>
      <c r="D1279" s="104">
        <v>0.0012431323652750766</v>
      </c>
      <c r="E1279" s="104">
        <v>2.714329759745233</v>
      </c>
      <c r="F1279" s="80" t="s">
        <v>2185</v>
      </c>
      <c r="G1279" s="80" t="b">
        <v>0</v>
      </c>
      <c r="H1279" s="80" t="b">
        <v>0</v>
      </c>
      <c r="I1279" s="80" t="b">
        <v>0</v>
      </c>
      <c r="J1279" s="80" t="b">
        <v>0</v>
      </c>
      <c r="K1279" s="80" t="b">
        <v>1</v>
      </c>
      <c r="L1279" s="80" t="b">
        <v>0</v>
      </c>
    </row>
    <row r="1280" spans="1:12" ht="15">
      <c r="A1280" s="81" t="s">
        <v>2535</v>
      </c>
      <c r="B1280" s="80" t="s">
        <v>2480</v>
      </c>
      <c r="C1280" s="80">
        <v>2</v>
      </c>
      <c r="D1280" s="104">
        <v>0.0016258787043265466</v>
      </c>
      <c r="E1280" s="104">
        <v>2.890421018800914</v>
      </c>
      <c r="F1280" s="80" t="s">
        <v>2185</v>
      </c>
      <c r="G1280" s="80" t="b">
        <v>0</v>
      </c>
      <c r="H1280" s="80" t="b">
        <v>0</v>
      </c>
      <c r="I1280" s="80" t="b">
        <v>0</v>
      </c>
      <c r="J1280" s="80" t="b">
        <v>0</v>
      </c>
      <c r="K1280" s="80" t="b">
        <v>0</v>
      </c>
      <c r="L1280" s="80" t="b">
        <v>0</v>
      </c>
    </row>
    <row r="1281" spans="1:12" ht="15">
      <c r="A1281" s="81" t="s">
        <v>3114</v>
      </c>
      <c r="B1281" s="80" t="s">
        <v>3179</v>
      </c>
      <c r="C1281" s="80">
        <v>2</v>
      </c>
      <c r="D1281" s="104">
        <v>0.0016258787043265466</v>
      </c>
      <c r="E1281" s="104">
        <v>2.890421018800914</v>
      </c>
      <c r="F1281" s="80" t="s">
        <v>2185</v>
      </c>
      <c r="G1281" s="80" t="b">
        <v>0</v>
      </c>
      <c r="H1281" s="80" t="b">
        <v>0</v>
      </c>
      <c r="I1281" s="80" t="b">
        <v>0</v>
      </c>
      <c r="J1281" s="80" t="b">
        <v>0</v>
      </c>
      <c r="K1281" s="80" t="b">
        <v>0</v>
      </c>
      <c r="L1281" s="80" t="b">
        <v>0</v>
      </c>
    </row>
    <row r="1282" spans="1:12" ht="15">
      <c r="A1282" s="81" t="s">
        <v>2275</v>
      </c>
      <c r="B1282" s="80" t="s">
        <v>2213</v>
      </c>
      <c r="C1282" s="80">
        <v>2</v>
      </c>
      <c r="D1282" s="104">
        <v>0.0012431323652750766</v>
      </c>
      <c r="E1282" s="104">
        <v>0.948412965778601</v>
      </c>
      <c r="F1282" s="80" t="s">
        <v>2185</v>
      </c>
      <c r="G1282" s="80" t="b">
        <v>0</v>
      </c>
      <c r="H1282" s="80" t="b">
        <v>0</v>
      </c>
      <c r="I1282" s="80" t="b">
        <v>0</v>
      </c>
      <c r="J1282" s="80" t="b">
        <v>0</v>
      </c>
      <c r="K1282" s="80" t="b">
        <v>0</v>
      </c>
      <c r="L1282" s="80" t="b">
        <v>0</v>
      </c>
    </row>
    <row r="1283" spans="1:12" ht="15">
      <c r="A1283" s="81" t="s">
        <v>2272</v>
      </c>
      <c r="B1283" s="80" t="s">
        <v>2277</v>
      </c>
      <c r="C1283" s="80">
        <v>2</v>
      </c>
      <c r="D1283" s="104">
        <v>0.0012431323652750766</v>
      </c>
      <c r="E1283" s="104">
        <v>1.5382385006895518</v>
      </c>
      <c r="F1283" s="80" t="s">
        <v>2185</v>
      </c>
      <c r="G1283" s="80" t="b">
        <v>0</v>
      </c>
      <c r="H1283" s="80" t="b">
        <v>0</v>
      </c>
      <c r="I1283" s="80" t="b">
        <v>0</v>
      </c>
      <c r="J1283" s="80" t="b">
        <v>0</v>
      </c>
      <c r="K1283" s="80" t="b">
        <v>0</v>
      </c>
      <c r="L1283" s="80" t="b">
        <v>0</v>
      </c>
    </row>
    <row r="1284" spans="1:12" ht="15">
      <c r="A1284" s="81" t="s">
        <v>2223</v>
      </c>
      <c r="B1284" s="80" t="s">
        <v>2332</v>
      </c>
      <c r="C1284" s="80">
        <v>2</v>
      </c>
      <c r="D1284" s="104">
        <v>0.0012431323652750766</v>
      </c>
      <c r="E1284" s="104">
        <v>0.9739670702509893</v>
      </c>
      <c r="F1284" s="80" t="s">
        <v>2185</v>
      </c>
      <c r="G1284" s="80" t="b">
        <v>0</v>
      </c>
      <c r="H1284" s="80" t="b">
        <v>0</v>
      </c>
      <c r="I1284" s="80" t="b">
        <v>0</v>
      </c>
      <c r="J1284" s="80" t="b">
        <v>0</v>
      </c>
      <c r="K1284" s="80" t="b">
        <v>0</v>
      </c>
      <c r="L1284" s="80" t="b">
        <v>0</v>
      </c>
    </row>
    <row r="1285" spans="1:12" ht="15">
      <c r="A1285" s="81" t="s">
        <v>2213</v>
      </c>
      <c r="B1285" s="80" t="s">
        <v>2214</v>
      </c>
      <c r="C1285" s="80">
        <v>12</v>
      </c>
      <c r="D1285" s="104">
        <v>0.0013411590453107124</v>
      </c>
      <c r="E1285" s="104">
        <v>1.8872957198087117</v>
      </c>
      <c r="F1285" s="80" t="s">
        <v>2186</v>
      </c>
      <c r="G1285" s="80" t="b">
        <v>0</v>
      </c>
      <c r="H1285" s="80" t="b">
        <v>0</v>
      </c>
      <c r="I1285" s="80" t="b">
        <v>0</v>
      </c>
      <c r="J1285" s="80" t="b">
        <v>0</v>
      </c>
      <c r="K1285" s="80" t="b">
        <v>0</v>
      </c>
      <c r="L1285" s="80" t="b">
        <v>0</v>
      </c>
    </row>
    <row r="1286" spans="1:12" ht="15">
      <c r="A1286" s="81" t="s">
        <v>2234</v>
      </c>
      <c r="B1286" s="80" t="s">
        <v>2226</v>
      </c>
      <c r="C1286" s="80">
        <v>10</v>
      </c>
      <c r="D1286" s="104">
        <v>0.002465810045615851</v>
      </c>
      <c r="E1286" s="104">
        <v>2.1583624920952498</v>
      </c>
      <c r="F1286" s="80" t="s">
        <v>2186</v>
      </c>
      <c r="G1286" s="80" t="b">
        <v>0</v>
      </c>
      <c r="H1286" s="80" t="b">
        <v>0</v>
      </c>
      <c r="I1286" s="80" t="b">
        <v>0</v>
      </c>
      <c r="J1286" s="80" t="b">
        <v>0</v>
      </c>
      <c r="K1286" s="80" t="b">
        <v>0</v>
      </c>
      <c r="L1286" s="80" t="b">
        <v>0</v>
      </c>
    </row>
    <row r="1287" spans="1:12" ht="15">
      <c r="A1287" s="81" t="s">
        <v>2276</v>
      </c>
      <c r="B1287" s="80" t="s">
        <v>2238</v>
      </c>
      <c r="C1287" s="80">
        <v>6</v>
      </c>
      <c r="D1287" s="104">
        <v>0.003721524671670097</v>
      </c>
      <c r="E1287" s="104">
        <v>1.8683278807327317</v>
      </c>
      <c r="F1287" s="80" t="s">
        <v>2186</v>
      </c>
      <c r="G1287" s="80" t="b">
        <v>0</v>
      </c>
      <c r="H1287" s="80" t="b">
        <v>0</v>
      </c>
      <c r="I1287" s="80" t="b">
        <v>0</v>
      </c>
      <c r="J1287" s="80" t="b">
        <v>0</v>
      </c>
      <c r="K1287" s="80" t="b">
        <v>0</v>
      </c>
      <c r="L1287" s="80" t="b">
        <v>0</v>
      </c>
    </row>
    <row r="1288" spans="1:12" ht="15">
      <c r="A1288" s="81" t="s">
        <v>2429</v>
      </c>
      <c r="B1288" s="80" t="s">
        <v>2431</v>
      </c>
      <c r="C1288" s="80">
        <v>6</v>
      </c>
      <c r="D1288" s="104">
        <v>0.003721524671670097</v>
      </c>
      <c r="E1288" s="104">
        <v>2.380211241711606</v>
      </c>
      <c r="F1288" s="80" t="s">
        <v>2186</v>
      </c>
      <c r="G1288" s="80" t="b">
        <v>0</v>
      </c>
      <c r="H1288" s="80" t="b">
        <v>0</v>
      </c>
      <c r="I1288" s="80" t="b">
        <v>0</v>
      </c>
      <c r="J1288" s="80" t="b">
        <v>0</v>
      </c>
      <c r="K1288" s="80" t="b">
        <v>0</v>
      </c>
      <c r="L1288" s="80" t="b">
        <v>0</v>
      </c>
    </row>
    <row r="1289" spans="1:12" ht="15">
      <c r="A1289" s="81" t="s">
        <v>2215</v>
      </c>
      <c r="B1289" s="80" t="s">
        <v>2222</v>
      </c>
      <c r="C1289" s="80">
        <v>5</v>
      </c>
      <c r="D1289" s="104">
        <v>0.0017347183321425345</v>
      </c>
      <c r="E1289" s="104">
        <v>1.7781512503836436</v>
      </c>
      <c r="F1289" s="80" t="s">
        <v>2186</v>
      </c>
      <c r="G1289" s="80" t="b">
        <v>0</v>
      </c>
      <c r="H1289" s="80" t="b">
        <v>0</v>
      </c>
      <c r="I1289" s="80" t="b">
        <v>0</v>
      </c>
      <c r="J1289" s="80" t="b">
        <v>0</v>
      </c>
      <c r="K1289" s="80" t="b">
        <v>0</v>
      </c>
      <c r="L1289" s="80" t="b">
        <v>0</v>
      </c>
    </row>
    <row r="1290" spans="1:12" ht="15">
      <c r="A1290" s="81" t="s">
        <v>2238</v>
      </c>
      <c r="B1290" s="80" t="s">
        <v>2457</v>
      </c>
      <c r="C1290" s="80">
        <v>4</v>
      </c>
      <c r="D1290" s="104">
        <v>0.0024810164477800647</v>
      </c>
      <c r="E1290" s="104">
        <v>2.044419139788413</v>
      </c>
      <c r="F1290" s="80" t="s">
        <v>2186</v>
      </c>
      <c r="G1290" s="80" t="b">
        <v>0</v>
      </c>
      <c r="H1290" s="80" t="b">
        <v>0</v>
      </c>
      <c r="I1290" s="80" t="b">
        <v>0</v>
      </c>
      <c r="J1290" s="80" t="b">
        <v>0</v>
      </c>
      <c r="K1290" s="80" t="b">
        <v>0</v>
      </c>
      <c r="L1290" s="80" t="b">
        <v>0</v>
      </c>
    </row>
    <row r="1291" spans="1:12" ht="15">
      <c r="A1291" s="81" t="s">
        <v>2250</v>
      </c>
      <c r="B1291" s="80" t="s">
        <v>2232</v>
      </c>
      <c r="C1291" s="80">
        <v>4</v>
      </c>
      <c r="D1291" s="104">
        <v>0.00165401096518671</v>
      </c>
      <c r="E1291" s="104">
        <v>2.0791812460476247</v>
      </c>
      <c r="F1291" s="80" t="s">
        <v>2186</v>
      </c>
      <c r="G1291" s="80" t="b">
        <v>0</v>
      </c>
      <c r="H1291" s="80" t="b">
        <v>0</v>
      </c>
      <c r="I1291" s="80" t="b">
        <v>0</v>
      </c>
      <c r="J1291" s="80" t="b">
        <v>0</v>
      </c>
      <c r="K1291" s="80" t="b">
        <v>0</v>
      </c>
      <c r="L1291" s="80" t="b">
        <v>0</v>
      </c>
    </row>
    <row r="1292" spans="1:12" ht="15">
      <c r="A1292" s="81" t="s">
        <v>2271</v>
      </c>
      <c r="B1292" s="80" t="s">
        <v>2217</v>
      </c>
      <c r="C1292" s="80">
        <v>4</v>
      </c>
      <c r="D1292" s="104">
        <v>0.00165401096518671</v>
      </c>
      <c r="E1292" s="104">
        <v>1.8573324964312685</v>
      </c>
      <c r="F1292" s="80" t="s">
        <v>2186</v>
      </c>
      <c r="G1292" s="80" t="b">
        <v>0</v>
      </c>
      <c r="H1292" s="80" t="b">
        <v>0</v>
      </c>
      <c r="I1292" s="80" t="b">
        <v>0</v>
      </c>
      <c r="J1292" s="80" t="b">
        <v>0</v>
      </c>
      <c r="K1292" s="80" t="b">
        <v>0</v>
      </c>
      <c r="L1292" s="80" t="b">
        <v>0</v>
      </c>
    </row>
    <row r="1293" spans="1:12" ht="15">
      <c r="A1293" s="81" t="s">
        <v>2215</v>
      </c>
      <c r="B1293" s="80" t="s">
        <v>2224</v>
      </c>
      <c r="C1293" s="80">
        <v>4</v>
      </c>
      <c r="D1293" s="104">
        <v>0.00165401096518671</v>
      </c>
      <c r="E1293" s="104">
        <v>1.6812412373755872</v>
      </c>
      <c r="F1293" s="80" t="s">
        <v>2186</v>
      </c>
      <c r="G1293" s="80" t="b">
        <v>0</v>
      </c>
      <c r="H1293" s="80" t="b">
        <v>0</v>
      </c>
      <c r="I1293" s="80" t="b">
        <v>0</v>
      </c>
      <c r="J1293" s="80" t="b">
        <v>0</v>
      </c>
      <c r="K1293" s="80" t="b">
        <v>0</v>
      </c>
      <c r="L1293" s="80" t="b">
        <v>0</v>
      </c>
    </row>
    <row r="1294" spans="1:12" ht="15">
      <c r="A1294" s="81" t="s">
        <v>2218</v>
      </c>
      <c r="B1294" s="80" t="s">
        <v>2218</v>
      </c>
      <c r="C1294" s="80">
        <v>4</v>
      </c>
      <c r="D1294" s="104">
        <v>0.00165401096518671</v>
      </c>
      <c r="E1294" s="104">
        <v>1.4082399653118496</v>
      </c>
      <c r="F1294" s="80" t="s">
        <v>2186</v>
      </c>
      <c r="G1294" s="80" t="b">
        <v>0</v>
      </c>
      <c r="H1294" s="80" t="b">
        <v>0</v>
      </c>
      <c r="I1294" s="80" t="b">
        <v>0</v>
      </c>
      <c r="J1294" s="80" t="b">
        <v>0</v>
      </c>
      <c r="K1294" s="80" t="b">
        <v>0</v>
      </c>
      <c r="L1294" s="80" t="b">
        <v>0</v>
      </c>
    </row>
    <row r="1295" spans="1:12" ht="15">
      <c r="A1295" s="81" t="s">
        <v>2215</v>
      </c>
      <c r="B1295" s="80" t="s">
        <v>2240</v>
      </c>
      <c r="C1295" s="80">
        <v>4</v>
      </c>
      <c r="D1295" s="104">
        <v>0.00165401096518671</v>
      </c>
      <c r="E1295" s="104">
        <v>1.6812412373755872</v>
      </c>
      <c r="F1295" s="80" t="s">
        <v>2186</v>
      </c>
      <c r="G1295" s="80" t="b">
        <v>0</v>
      </c>
      <c r="H1295" s="80" t="b">
        <v>0</v>
      </c>
      <c r="I1295" s="80" t="b">
        <v>0</v>
      </c>
      <c r="J1295" s="80" t="b">
        <v>0</v>
      </c>
      <c r="K1295" s="80" t="b">
        <v>0</v>
      </c>
      <c r="L1295" s="80" t="b">
        <v>0</v>
      </c>
    </row>
    <row r="1296" spans="1:12" ht="15">
      <c r="A1296" s="81" t="s">
        <v>2284</v>
      </c>
      <c r="B1296" s="80" t="s">
        <v>2217</v>
      </c>
      <c r="C1296" s="80">
        <v>4</v>
      </c>
      <c r="D1296" s="104">
        <v>0.0024810164477800647</v>
      </c>
      <c r="E1296" s="104">
        <v>1.954242509439325</v>
      </c>
      <c r="F1296" s="80" t="s">
        <v>2186</v>
      </c>
      <c r="G1296" s="80" t="b">
        <v>0</v>
      </c>
      <c r="H1296" s="80" t="b">
        <v>0</v>
      </c>
      <c r="I1296" s="80" t="b">
        <v>0</v>
      </c>
      <c r="J1296" s="80" t="b">
        <v>0</v>
      </c>
      <c r="K1296" s="80" t="b">
        <v>0</v>
      </c>
      <c r="L1296" s="80" t="b">
        <v>0</v>
      </c>
    </row>
    <row r="1297" spans="1:12" ht="15">
      <c r="A1297" s="81" t="s">
        <v>2224</v>
      </c>
      <c r="B1297" s="80" t="s">
        <v>2215</v>
      </c>
      <c r="C1297" s="80">
        <v>4</v>
      </c>
      <c r="D1297" s="104">
        <v>0.00165401096518671</v>
      </c>
      <c r="E1297" s="104">
        <v>1.6812412373755872</v>
      </c>
      <c r="F1297" s="80" t="s">
        <v>2186</v>
      </c>
      <c r="G1297" s="80" t="b">
        <v>0</v>
      </c>
      <c r="H1297" s="80" t="b">
        <v>0</v>
      </c>
      <c r="I1297" s="80" t="b">
        <v>0</v>
      </c>
      <c r="J1297" s="80" t="b">
        <v>0</v>
      </c>
      <c r="K1297" s="80" t="b">
        <v>0</v>
      </c>
      <c r="L1297" s="80" t="b">
        <v>0</v>
      </c>
    </row>
    <row r="1298" spans="1:12" ht="15">
      <c r="A1298" s="81" t="s">
        <v>2304</v>
      </c>
      <c r="B1298" s="80" t="s">
        <v>2727</v>
      </c>
      <c r="C1298" s="80">
        <v>3</v>
      </c>
      <c r="D1298" s="104">
        <v>0.0014979369394291118</v>
      </c>
      <c r="E1298" s="104">
        <v>2.459392487759231</v>
      </c>
      <c r="F1298" s="80" t="s">
        <v>2186</v>
      </c>
      <c r="G1298" s="80" t="b">
        <v>0</v>
      </c>
      <c r="H1298" s="80" t="b">
        <v>0</v>
      </c>
      <c r="I1298" s="80" t="b">
        <v>0</v>
      </c>
      <c r="J1298" s="80" t="b">
        <v>0</v>
      </c>
      <c r="K1298" s="80" t="b">
        <v>0</v>
      </c>
      <c r="L1298" s="80" t="b">
        <v>0</v>
      </c>
    </row>
    <row r="1299" spans="1:12" ht="15">
      <c r="A1299" s="81" t="s">
        <v>2225</v>
      </c>
      <c r="B1299" s="80" t="s">
        <v>2215</v>
      </c>
      <c r="C1299" s="80">
        <v>3</v>
      </c>
      <c r="D1299" s="104">
        <v>0.0014979369394291118</v>
      </c>
      <c r="E1299" s="104">
        <v>1.614294447744974</v>
      </c>
      <c r="F1299" s="80" t="s">
        <v>2186</v>
      </c>
      <c r="G1299" s="80" t="b">
        <v>0</v>
      </c>
      <c r="H1299" s="80" t="b">
        <v>0</v>
      </c>
      <c r="I1299" s="80" t="b">
        <v>0</v>
      </c>
      <c r="J1299" s="80" t="b">
        <v>0</v>
      </c>
      <c r="K1299" s="80" t="b">
        <v>0</v>
      </c>
      <c r="L1299" s="80" t="b">
        <v>0</v>
      </c>
    </row>
    <row r="1300" spans="1:12" ht="15">
      <c r="A1300" s="81" t="s">
        <v>2743</v>
      </c>
      <c r="B1300" s="80" t="s">
        <v>2265</v>
      </c>
      <c r="C1300" s="80">
        <v>3</v>
      </c>
      <c r="D1300" s="104">
        <v>0.0024810164477800647</v>
      </c>
      <c r="E1300" s="104">
        <v>2.313264452080993</v>
      </c>
      <c r="F1300" s="80" t="s">
        <v>2186</v>
      </c>
      <c r="G1300" s="80" t="b">
        <v>0</v>
      </c>
      <c r="H1300" s="80" t="b">
        <v>0</v>
      </c>
      <c r="I1300" s="80" t="b">
        <v>0</v>
      </c>
      <c r="J1300" s="80" t="b">
        <v>0</v>
      </c>
      <c r="K1300" s="80" t="b">
        <v>0</v>
      </c>
      <c r="L1300" s="80" t="b">
        <v>0</v>
      </c>
    </row>
    <row r="1301" spans="1:12" ht="15">
      <c r="A1301" s="81" t="s">
        <v>2224</v>
      </c>
      <c r="B1301" s="80" t="s">
        <v>2240</v>
      </c>
      <c r="C1301" s="80">
        <v>3</v>
      </c>
      <c r="D1301" s="104">
        <v>0.0014979369394291118</v>
      </c>
      <c r="E1301" s="104">
        <v>1.8293037728310249</v>
      </c>
      <c r="F1301" s="80" t="s">
        <v>2186</v>
      </c>
      <c r="G1301" s="80" t="b">
        <v>0</v>
      </c>
      <c r="H1301" s="80" t="b">
        <v>0</v>
      </c>
      <c r="I1301" s="80" t="b">
        <v>0</v>
      </c>
      <c r="J1301" s="80" t="b">
        <v>0</v>
      </c>
      <c r="K1301" s="80" t="b">
        <v>0</v>
      </c>
      <c r="L1301" s="80" t="b">
        <v>0</v>
      </c>
    </row>
    <row r="1302" spans="1:12" ht="15">
      <c r="A1302" s="81" t="s">
        <v>2238</v>
      </c>
      <c r="B1302" s="80" t="s">
        <v>2229</v>
      </c>
      <c r="C1302" s="80">
        <v>3</v>
      </c>
      <c r="D1302" s="104">
        <v>0.0014979369394291118</v>
      </c>
      <c r="E1302" s="104">
        <v>1.6184504075161317</v>
      </c>
      <c r="F1302" s="80" t="s">
        <v>2186</v>
      </c>
      <c r="G1302" s="80" t="b">
        <v>0</v>
      </c>
      <c r="H1302" s="80" t="b">
        <v>0</v>
      </c>
      <c r="I1302" s="80" t="b">
        <v>0</v>
      </c>
      <c r="J1302" s="80" t="b">
        <v>0</v>
      </c>
      <c r="K1302" s="80" t="b">
        <v>0</v>
      </c>
      <c r="L1302" s="80" t="b">
        <v>0</v>
      </c>
    </row>
    <row r="1303" spans="1:12" ht="15">
      <c r="A1303" s="81" t="s">
        <v>2265</v>
      </c>
      <c r="B1303" s="80" t="s">
        <v>2239</v>
      </c>
      <c r="C1303" s="80">
        <v>3</v>
      </c>
      <c r="D1303" s="104">
        <v>0.0024810164477800647</v>
      </c>
      <c r="E1303" s="104">
        <v>1.8361431973613305</v>
      </c>
      <c r="F1303" s="80" t="s">
        <v>2186</v>
      </c>
      <c r="G1303" s="80" t="b">
        <v>0</v>
      </c>
      <c r="H1303" s="80" t="b">
        <v>0</v>
      </c>
      <c r="I1303" s="80" t="b">
        <v>0</v>
      </c>
      <c r="J1303" s="80" t="b">
        <v>0</v>
      </c>
      <c r="K1303" s="80" t="b">
        <v>0</v>
      </c>
      <c r="L1303" s="80" t="b">
        <v>0</v>
      </c>
    </row>
    <row r="1304" spans="1:12" ht="15">
      <c r="A1304" s="81" t="s">
        <v>2222</v>
      </c>
      <c r="B1304" s="80" t="s">
        <v>2215</v>
      </c>
      <c r="C1304" s="80">
        <v>3</v>
      </c>
      <c r="D1304" s="104">
        <v>0.0014979369394291118</v>
      </c>
      <c r="E1304" s="104">
        <v>1.5563025007672873</v>
      </c>
      <c r="F1304" s="80" t="s">
        <v>2186</v>
      </c>
      <c r="G1304" s="80" t="b">
        <v>0</v>
      </c>
      <c r="H1304" s="80" t="b">
        <v>0</v>
      </c>
      <c r="I1304" s="80" t="b">
        <v>0</v>
      </c>
      <c r="J1304" s="80" t="b">
        <v>0</v>
      </c>
      <c r="K1304" s="80" t="b">
        <v>0</v>
      </c>
      <c r="L1304" s="80" t="b">
        <v>0</v>
      </c>
    </row>
    <row r="1305" spans="1:12" ht="15">
      <c r="A1305" s="81" t="s">
        <v>2273</v>
      </c>
      <c r="B1305" s="80" t="s">
        <v>2243</v>
      </c>
      <c r="C1305" s="80">
        <v>3</v>
      </c>
      <c r="D1305" s="104">
        <v>0.0018607623358350485</v>
      </c>
      <c r="E1305" s="104">
        <v>2.3344537511509307</v>
      </c>
      <c r="F1305" s="80" t="s">
        <v>2186</v>
      </c>
      <c r="G1305" s="80" t="b">
        <v>1</v>
      </c>
      <c r="H1305" s="80" t="b">
        <v>0</v>
      </c>
      <c r="I1305" s="80" t="b">
        <v>0</v>
      </c>
      <c r="J1305" s="80" t="b">
        <v>0</v>
      </c>
      <c r="K1305" s="80" t="b">
        <v>0</v>
      </c>
      <c r="L1305" s="80" t="b">
        <v>0</v>
      </c>
    </row>
    <row r="1306" spans="1:12" ht="15">
      <c r="A1306" s="81" t="s">
        <v>2233</v>
      </c>
      <c r="B1306" s="80" t="s">
        <v>2366</v>
      </c>
      <c r="C1306" s="80">
        <v>3</v>
      </c>
      <c r="D1306" s="104">
        <v>0.0014979369394291118</v>
      </c>
      <c r="E1306" s="104">
        <v>2.255272505103306</v>
      </c>
      <c r="F1306" s="80" t="s">
        <v>2186</v>
      </c>
      <c r="G1306" s="80" t="b">
        <v>0</v>
      </c>
      <c r="H1306" s="80" t="b">
        <v>0</v>
      </c>
      <c r="I1306" s="80" t="b">
        <v>0</v>
      </c>
      <c r="J1306" s="80" t="b">
        <v>0</v>
      </c>
      <c r="K1306" s="80" t="b">
        <v>0</v>
      </c>
      <c r="L1306" s="80" t="b">
        <v>0</v>
      </c>
    </row>
    <row r="1307" spans="1:12" ht="15">
      <c r="A1307" s="81" t="s">
        <v>2239</v>
      </c>
      <c r="B1307" s="80" t="s">
        <v>2218</v>
      </c>
      <c r="C1307" s="80">
        <v>3</v>
      </c>
      <c r="D1307" s="104">
        <v>0.0014979369394291118</v>
      </c>
      <c r="E1307" s="104">
        <v>1.505149978319906</v>
      </c>
      <c r="F1307" s="80" t="s">
        <v>2186</v>
      </c>
      <c r="G1307" s="80" t="b">
        <v>0</v>
      </c>
      <c r="H1307" s="80" t="b">
        <v>0</v>
      </c>
      <c r="I1307" s="80" t="b">
        <v>0</v>
      </c>
      <c r="J1307" s="80" t="b">
        <v>0</v>
      </c>
      <c r="K1307" s="80" t="b">
        <v>0</v>
      </c>
      <c r="L1307" s="80" t="b">
        <v>0</v>
      </c>
    </row>
    <row r="1308" spans="1:12" ht="15">
      <c r="A1308" s="81" t="s">
        <v>2222</v>
      </c>
      <c r="B1308" s="80" t="s">
        <v>2225</v>
      </c>
      <c r="C1308" s="80">
        <v>3</v>
      </c>
      <c r="D1308" s="104">
        <v>0.0014979369394291118</v>
      </c>
      <c r="E1308" s="104">
        <v>1.8293037728310249</v>
      </c>
      <c r="F1308" s="80" t="s">
        <v>2186</v>
      </c>
      <c r="G1308" s="80" t="b">
        <v>0</v>
      </c>
      <c r="H1308" s="80" t="b">
        <v>0</v>
      </c>
      <c r="I1308" s="80" t="b">
        <v>0</v>
      </c>
      <c r="J1308" s="80" t="b">
        <v>0</v>
      </c>
      <c r="K1308" s="80" t="b">
        <v>0</v>
      </c>
      <c r="L1308" s="80" t="b">
        <v>0</v>
      </c>
    </row>
    <row r="1309" spans="1:12" ht="15">
      <c r="A1309" s="81" t="s">
        <v>2218</v>
      </c>
      <c r="B1309" s="80" t="s">
        <v>2257</v>
      </c>
      <c r="C1309" s="80">
        <v>3</v>
      </c>
      <c r="D1309" s="104">
        <v>0.0014979369394291118</v>
      </c>
      <c r="E1309" s="104">
        <v>1.6812412373755872</v>
      </c>
      <c r="F1309" s="80" t="s">
        <v>2186</v>
      </c>
      <c r="G1309" s="80" t="b">
        <v>0</v>
      </c>
      <c r="H1309" s="80" t="b">
        <v>0</v>
      </c>
      <c r="I1309" s="80" t="b">
        <v>0</v>
      </c>
      <c r="J1309" s="80" t="b">
        <v>0</v>
      </c>
      <c r="K1309" s="80" t="b">
        <v>0</v>
      </c>
      <c r="L1309" s="80" t="b">
        <v>0</v>
      </c>
    </row>
    <row r="1310" spans="1:12" ht="15">
      <c r="A1310" s="81" t="s">
        <v>3015</v>
      </c>
      <c r="B1310" s="80" t="s">
        <v>2822</v>
      </c>
      <c r="C1310" s="80">
        <v>2</v>
      </c>
      <c r="D1310" s="104">
        <v>0.0012405082238900324</v>
      </c>
      <c r="E1310" s="104">
        <v>2.8573324964312685</v>
      </c>
      <c r="F1310" s="80" t="s">
        <v>2186</v>
      </c>
      <c r="G1310" s="80" t="b">
        <v>0</v>
      </c>
      <c r="H1310" s="80" t="b">
        <v>0</v>
      </c>
      <c r="I1310" s="80" t="b">
        <v>0</v>
      </c>
      <c r="J1310" s="80" t="b">
        <v>0</v>
      </c>
      <c r="K1310" s="80" t="b">
        <v>0</v>
      </c>
      <c r="L1310" s="80" t="b">
        <v>0</v>
      </c>
    </row>
    <row r="1311" spans="1:12" ht="15">
      <c r="A1311" s="81" t="s">
        <v>2914</v>
      </c>
      <c r="B1311" s="80" t="s">
        <v>2547</v>
      </c>
      <c r="C1311" s="80">
        <v>2</v>
      </c>
      <c r="D1311" s="104">
        <v>0.0012405082238900324</v>
      </c>
      <c r="E1311" s="104">
        <v>2.681241237375587</v>
      </c>
      <c r="F1311" s="80" t="s">
        <v>2186</v>
      </c>
      <c r="G1311" s="80" t="b">
        <v>0</v>
      </c>
      <c r="H1311" s="80" t="b">
        <v>0</v>
      </c>
      <c r="I1311" s="80" t="b">
        <v>0</v>
      </c>
      <c r="J1311" s="80" t="b">
        <v>0</v>
      </c>
      <c r="K1311" s="80" t="b">
        <v>0</v>
      </c>
      <c r="L1311" s="80" t="b">
        <v>0</v>
      </c>
    </row>
    <row r="1312" spans="1:12" ht="15">
      <c r="A1312" s="81" t="s">
        <v>2727</v>
      </c>
      <c r="B1312" s="80" t="s">
        <v>2983</v>
      </c>
      <c r="C1312" s="80">
        <v>2</v>
      </c>
      <c r="D1312" s="104">
        <v>0.0012405082238900324</v>
      </c>
      <c r="E1312" s="104">
        <v>2.681241237375587</v>
      </c>
      <c r="F1312" s="80" t="s">
        <v>2186</v>
      </c>
      <c r="G1312" s="80" t="b">
        <v>0</v>
      </c>
      <c r="H1312" s="80" t="b">
        <v>0</v>
      </c>
      <c r="I1312" s="80" t="b">
        <v>0</v>
      </c>
      <c r="J1312" s="80" t="b">
        <v>1</v>
      </c>
      <c r="K1312" s="80" t="b">
        <v>0</v>
      </c>
      <c r="L1312" s="80" t="b">
        <v>0</v>
      </c>
    </row>
    <row r="1313" spans="1:12" ht="15">
      <c r="A1313" s="81" t="s">
        <v>2240</v>
      </c>
      <c r="B1313" s="80" t="s">
        <v>2381</v>
      </c>
      <c r="C1313" s="80">
        <v>2</v>
      </c>
      <c r="D1313" s="104">
        <v>0.0012405082238900324</v>
      </c>
      <c r="E1313" s="104">
        <v>2.0122344564170116</v>
      </c>
      <c r="F1313" s="80" t="s">
        <v>2186</v>
      </c>
      <c r="G1313" s="80" t="b">
        <v>0</v>
      </c>
      <c r="H1313" s="80" t="b">
        <v>0</v>
      </c>
      <c r="I1313" s="80" t="b">
        <v>0</v>
      </c>
      <c r="J1313" s="80" t="b">
        <v>0</v>
      </c>
      <c r="K1313" s="80" t="b">
        <v>0</v>
      </c>
      <c r="L1313" s="80" t="b">
        <v>0</v>
      </c>
    </row>
    <row r="1314" spans="1:12" ht="15">
      <c r="A1314" s="81" t="s">
        <v>2353</v>
      </c>
      <c r="B1314" s="80" t="s">
        <v>2343</v>
      </c>
      <c r="C1314" s="80">
        <v>2</v>
      </c>
      <c r="D1314" s="104">
        <v>0.0012405082238900324</v>
      </c>
      <c r="E1314" s="104">
        <v>2.681241237375587</v>
      </c>
      <c r="F1314" s="80" t="s">
        <v>2186</v>
      </c>
      <c r="G1314" s="80" t="b">
        <v>0</v>
      </c>
      <c r="H1314" s="80" t="b">
        <v>0</v>
      </c>
      <c r="I1314" s="80" t="b">
        <v>0</v>
      </c>
      <c r="J1314" s="80" t="b">
        <v>0</v>
      </c>
      <c r="K1314" s="80" t="b">
        <v>0</v>
      </c>
      <c r="L1314" s="80" t="b">
        <v>0</v>
      </c>
    </row>
    <row r="1315" spans="1:12" ht="15">
      <c r="A1315" s="81" t="s">
        <v>2269</v>
      </c>
      <c r="B1315" s="80" t="s">
        <v>2273</v>
      </c>
      <c r="C1315" s="80">
        <v>2</v>
      </c>
      <c r="D1315" s="104">
        <v>0.00165401096518671</v>
      </c>
      <c r="E1315" s="104">
        <v>2.061452479087193</v>
      </c>
      <c r="F1315" s="80" t="s">
        <v>2186</v>
      </c>
      <c r="G1315" s="80" t="b">
        <v>0</v>
      </c>
      <c r="H1315" s="80" t="b">
        <v>0</v>
      </c>
      <c r="I1315" s="80" t="b">
        <v>0</v>
      </c>
      <c r="J1315" s="80" t="b">
        <v>1</v>
      </c>
      <c r="K1315" s="80" t="b">
        <v>0</v>
      </c>
      <c r="L1315" s="80" t="b">
        <v>0</v>
      </c>
    </row>
    <row r="1316" spans="1:12" ht="15">
      <c r="A1316" s="81" t="s">
        <v>2250</v>
      </c>
      <c r="B1316" s="80" t="s">
        <v>2320</v>
      </c>
      <c r="C1316" s="80">
        <v>2</v>
      </c>
      <c r="D1316" s="104">
        <v>0.0012405082238900324</v>
      </c>
      <c r="E1316" s="104">
        <v>1.6532125137753437</v>
      </c>
      <c r="F1316" s="80" t="s">
        <v>2186</v>
      </c>
      <c r="G1316" s="80" t="b">
        <v>0</v>
      </c>
      <c r="H1316" s="80" t="b">
        <v>0</v>
      </c>
      <c r="I1316" s="80" t="b">
        <v>0</v>
      </c>
      <c r="J1316" s="80" t="b">
        <v>0</v>
      </c>
      <c r="K1316" s="80" t="b">
        <v>0</v>
      </c>
      <c r="L1316" s="80" t="b">
        <v>0</v>
      </c>
    </row>
    <row r="1317" spans="1:12" ht="15">
      <c r="A1317" s="81" t="s">
        <v>3130</v>
      </c>
      <c r="B1317" s="80" t="s">
        <v>3175</v>
      </c>
      <c r="C1317" s="80">
        <v>2</v>
      </c>
      <c r="D1317" s="104">
        <v>0.0012405082238900324</v>
      </c>
      <c r="E1317" s="104">
        <v>2.8573324964312685</v>
      </c>
      <c r="F1317" s="80" t="s">
        <v>2186</v>
      </c>
      <c r="G1317" s="80" t="b">
        <v>0</v>
      </c>
      <c r="H1317" s="80" t="b">
        <v>0</v>
      </c>
      <c r="I1317" s="80" t="b">
        <v>0</v>
      </c>
      <c r="J1317" s="80" t="b">
        <v>1</v>
      </c>
      <c r="K1317" s="80" t="b">
        <v>0</v>
      </c>
      <c r="L1317" s="80" t="b">
        <v>0</v>
      </c>
    </row>
    <row r="1318" spans="1:12" ht="15">
      <c r="A1318" s="81" t="s">
        <v>2346</v>
      </c>
      <c r="B1318" s="80" t="s">
        <v>2250</v>
      </c>
      <c r="C1318" s="80">
        <v>2</v>
      </c>
      <c r="D1318" s="104">
        <v>0.0012405082238900324</v>
      </c>
      <c r="E1318" s="104">
        <v>1.7781512503836436</v>
      </c>
      <c r="F1318" s="80" t="s">
        <v>2186</v>
      </c>
      <c r="G1318" s="80" t="b">
        <v>0</v>
      </c>
      <c r="H1318" s="80" t="b">
        <v>0</v>
      </c>
      <c r="I1318" s="80" t="b">
        <v>0</v>
      </c>
      <c r="J1318" s="80" t="b">
        <v>0</v>
      </c>
      <c r="K1318" s="80" t="b">
        <v>0</v>
      </c>
      <c r="L1318" s="80" t="b">
        <v>0</v>
      </c>
    </row>
    <row r="1319" spans="1:12" ht="15">
      <c r="A1319" s="81" t="s">
        <v>2218</v>
      </c>
      <c r="B1319" s="80" t="s">
        <v>3102</v>
      </c>
      <c r="C1319" s="80">
        <v>2</v>
      </c>
      <c r="D1319" s="104">
        <v>0.0012405082238900324</v>
      </c>
      <c r="E1319" s="104">
        <v>1.9822712330395684</v>
      </c>
      <c r="F1319" s="80" t="s">
        <v>2186</v>
      </c>
      <c r="G1319" s="80" t="b">
        <v>0</v>
      </c>
      <c r="H1319" s="80" t="b">
        <v>0</v>
      </c>
      <c r="I1319" s="80" t="b">
        <v>0</v>
      </c>
      <c r="J1319" s="80" t="b">
        <v>0</v>
      </c>
      <c r="K1319" s="80" t="b">
        <v>0</v>
      </c>
      <c r="L1319" s="80" t="b">
        <v>0</v>
      </c>
    </row>
    <row r="1320" spans="1:12" ht="15">
      <c r="A1320" s="81" t="s">
        <v>2559</v>
      </c>
      <c r="B1320" s="80" t="s">
        <v>2417</v>
      </c>
      <c r="C1320" s="80">
        <v>2</v>
      </c>
      <c r="D1320" s="104">
        <v>0.0012405082238900324</v>
      </c>
      <c r="E1320" s="104">
        <v>2.505149978319906</v>
      </c>
      <c r="F1320" s="80" t="s">
        <v>2186</v>
      </c>
      <c r="G1320" s="80" t="b">
        <v>0</v>
      </c>
      <c r="H1320" s="80" t="b">
        <v>0</v>
      </c>
      <c r="I1320" s="80" t="b">
        <v>0</v>
      </c>
      <c r="J1320" s="80" t="b">
        <v>0</v>
      </c>
      <c r="K1320" s="80" t="b">
        <v>0</v>
      </c>
      <c r="L1320" s="80" t="b">
        <v>0</v>
      </c>
    </row>
    <row r="1321" spans="1:12" ht="15">
      <c r="A1321" s="81" t="s">
        <v>2673</v>
      </c>
      <c r="B1321" s="80" t="s">
        <v>2728</v>
      </c>
      <c r="C1321" s="80">
        <v>2</v>
      </c>
      <c r="D1321" s="104">
        <v>0.0012405082238900324</v>
      </c>
      <c r="E1321" s="104">
        <v>2.8573324964312685</v>
      </c>
      <c r="F1321" s="80" t="s">
        <v>2186</v>
      </c>
      <c r="G1321" s="80" t="b">
        <v>0</v>
      </c>
      <c r="H1321" s="80" t="b">
        <v>0</v>
      </c>
      <c r="I1321" s="80" t="b">
        <v>0</v>
      </c>
      <c r="J1321" s="80" t="b">
        <v>0</v>
      </c>
      <c r="K1321" s="80" t="b">
        <v>0</v>
      </c>
      <c r="L1321" s="80" t="b">
        <v>0</v>
      </c>
    </row>
    <row r="1322" spans="1:12" ht="15">
      <c r="A1322" s="81" t="s">
        <v>3348</v>
      </c>
      <c r="B1322" s="80" t="s">
        <v>2754</v>
      </c>
      <c r="C1322" s="80">
        <v>2</v>
      </c>
      <c r="D1322" s="104">
        <v>0.00165401096518671</v>
      </c>
      <c r="E1322" s="104">
        <v>2.681241237375587</v>
      </c>
      <c r="F1322" s="80" t="s">
        <v>2186</v>
      </c>
      <c r="G1322" s="80" t="b">
        <v>0</v>
      </c>
      <c r="H1322" s="80" t="b">
        <v>0</v>
      </c>
      <c r="I1322" s="80" t="b">
        <v>0</v>
      </c>
      <c r="J1322" s="80" t="b">
        <v>0</v>
      </c>
      <c r="K1322" s="80" t="b">
        <v>0</v>
      </c>
      <c r="L1322" s="80" t="b">
        <v>0</v>
      </c>
    </row>
    <row r="1323" spans="1:12" ht="15">
      <c r="A1323" s="81" t="s">
        <v>2636</v>
      </c>
      <c r="B1323" s="80" t="s">
        <v>3353</v>
      </c>
      <c r="C1323" s="80">
        <v>2</v>
      </c>
      <c r="D1323" s="104">
        <v>0.00165401096518671</v>
      </c>
      <c r="E1323" s="104">
        <v>2.681241237375587</v>
      </c>
      <c r="F1323" s="80" t="s">
        <v>2186</v>
      </c>
      <c r="G1323" s="80" t="b">
        <v>0</v>
      </c>
      <c r="H1323" s="80" t="b">
        <v>0</v>
      </c>
      <c r="I1323" s="80" t="b">
        <v>0</v>
      </c>
      <c r="J1323" s="80" t="b">
        <v>0</v>
      </c>
      <c r="K1323" s="80" t="b">
        <v>0</v>
      </c>
      <c r="L1323" s="80" t="b">
        <v>0</v>
      </c>
    </row>
    <row r="1324" spans="1:12" ht="15">
      <c r="A1324" s="81" t="s">
        <v>2246</v>
      </c>
      <c r="B1324" s="80" t="s">
        <v>2764</v>
      </c>
      <c r="C1324" s="80">
        <v>2</v>
      </c>
      <c r="D1324" s="104">
        <v>0.0012405082238900324</v>
      </c>
      <c r="E1324" s="104">
        <v>2.459392487759231</v>
      </c>
      <c r="F1324" s="80" t="s">
        <v>2186</v>
      </c>
      <c r="G1324" s="80" t="b">
        <v>0</v>
      </c>
      <c r="H1324" s="80" t="b">
        <v>0</v>
      </c>
      <c r="I1324" s="80" t="b">
        <v>0</v>
      </c>
      <c r="J1324" s="80" t="b">
        <v>0</v>
      </c>
      <c r="K1324" s="80" t="b">
        <v>0</v>
      </c>
      <c r="L1324" s="80" t="b">
        <v>0</v>
      </c>
    </row>
    <row r="1325" spans="1:12" ht="15">
      <c r="A1325" s="81" t="s">
        <v>2221</v>
      </c>
      <c r="B1325" s="80" t="s">
        <v>2281</v>
      </c>
      <c r="C1325" s="80">
        <v>2</v>
      </c>
      <c r="D1325" s="104">
        <v>0.0012405082238900324</v>
      </c>
      <c r="E1325" s="104">
        <v>1.8573324964312685</v>
      </c>
      <c r="F1325" s="80" t="s">
        <v>2186</v>
      </c>
      <c r="G1325" s="80" t="b">
        <v>0</v>
      </c>
      <c r="H1325" s="80" t="b">
        <v>0</v>
      </c>
      <c r="I1325" s="80" t="b">
        <v>0</v>
      </c>
      <c r="J1325" s="80" t="b">
        <v>0</v>
      </c>
      <c r="K1325" s="80" t="b">
        <v>0</v>
      </c>
      <c r="L1325" s="80" t="b">
        <v>0</v>
      </c>
    </row>
    <row r="1326" spans="1:12" ht="15">
      <c r="A1326" s="81" t="s">
        <v>2975</v>
      </c>
      <c r="B1326" s="80" t="s">
        <v>2320</v>
      </c>
      <c r="C1326" s="80">
        <v>2</v>
      </c>
      <c r="D1326" s="104">
        <v>0.0012405082238900324</v>
      </c>
      <c r="E1326" s="104">
        <v>2.255272505103306</v>
      </c>
      <c r="F1326" s="80" t="s">
        <v>2186</v>
      </c>
      <c r="G1326" s="80" t="b">
        <v>0</v>
      </c>
      <c r="H1326" s="80" t="b">
        <v>0</v>
      </c>
      <c r="I1326" s="80" t="b">
        <v>0</v>
      </c>
      <c r="J1326" s="80" t="b">
        <v>0</v>
      </c>
      <c r="K1326" s="80" t="b">
        <v>0</v>
      </c>
      <c r="L1326" s="80" t="b">
        <v>0</v>
      </c>
    </row>
    <row r="1327" spans="1:12" ht="15">
      <c r="A1327" s="81" t="s">
        <v>2346</v>
      </c>
      <c r="B1327" s="80" t="s">
        <v>2461</v>
      </c>
      <c r="C1327" s="80">
        <v>2</v>
      </c>
      <c r="D1327" s="104">
        <v>0.0012405082238900324</v>
      </c>
      <c r="E1327" s="104">
        <v>2.380211241711606</v>
      </c>
      <c r="F1327" s="80" t="s">
        <v>2186</v>
      </c>
      <c r="G1327" s="80" t="b">
        <v>0</v>
      </c>
      <c r="H1327" s="80" t="b">
        <v>0</v>
      </c>
      <c r="I1327" s="80" t="b">
        <v>0</v>
      </c>
      <c r="J1327" s="80" t="b">
        <v>0</v>
      </c>
      <c r="K1327" s="80" t="b">
        <v>0</v>
      </c>
      <c r="L1327" s="80" t="b">
        <v>0</v>
      </c>
    </row>
    <row r="1328" spans="1:12" ht="15">
      <c r="A1328" s="81" t="s">
        <v>2231</v>
      </c>
      <c r="B1328" s="80" t="s">
        <v>2219</v>
      </c>
      <c r="C1328" s="80">
        <v>2</v>
      </c>
      <c r="D1328" s="104">
        <v>0.00165401096518671</v>
      </c>
      <c r="E1328" s="104">
        <v>2.0122344564170116</v>
      </c>
      <c r="F1328" s="80" t="s">
        <v>2186</v>
      </c>
      <c r="G1328" s="80" t="b">
        <v>0</v>
      </c>
      <c r="H1328" s="80" t="b">
        <v>0</v>
      </c>
      <c r="I1328" s="80" t="b">
        <v>0</v>
      </c>
      <c r="J1328" s="80" t="b">
        <v>0</v>
      </c>
      <c r="K1328" s="80" t="b">
        <v>0</v>
      </c>
      <c r="L1328" s="80" t="b">
        <v>0</v>
      </c>
    </row>
    <row r="1329" spans="1:12" ht="15">
      <c r="A1329" s="81" t="s">
        <v>2235</v>
      </c>
      <c r="B1329" s="80" t="s">
        <v>3080</v>
      </c>
      <c r="C1329" s="80">
        <v>2</v>
      </c>
      <c r="D1329" s="104">
        <v>0.0012405082238900324</v>
      </c>
      <c r="E1329" s="104">
        <v>2.0791812460476247</v>
      </c>
      <c r="F1329" s="80" t="s">
        <v>2186</v>
      </c>
      <c r="G1329" s="80" t="b">
        <v>0</v>
      </c>
      <c r="H1329" s="80" t="b">
        <v>0</v>
      </c>
      <c r="I1329" s="80" t="b">
        <v>0</v>
      </c>
      <c r="J1329" s="80" t="b">
        <v>0</v>
      </c>
      <c r="K1329" s="80" t="b">
        <v>0</v>
      </c>
      <c r="L1329" s="80" t="b">
        <v>0</v>
      </c>
    </row>
    <row r="1330" spans="1:12" ht="15">
      <c r="A1330" s="81" t="s">
        <v>2314</v>
      </c>
      <c r="B1330" s="80" t="s">
        <v>2217</v>
      </c>
      <c r="C1330" s="80">
        <v>2</v>
      </c>
      <c r="D1330" s="104">
        <v>0.0012405082238900324</v>
      </c>
      <c r="E1330" s="104">
        <v>1.5563025007672873</v>
      </c>
      <c r="F1330" s="80" t="s">
        <v>2186</v>
      </c>
      <c r="G1330" s="80" t="b">
        <v>0</v>
      </c>
      <c r="H1330" s="80" t="b">
        <v>0</v>
      </c>
      <c r="I1330" s="80" t="b">
        <v>0</v>
      </c>
      <c r="J1330" s="80" t="b">
        <v>0</v>
      </c>
      <c r="K1330" s="80" t="b">
        <v>0</v>
      </c>
      <c r="L1330" s="80" t="b">
        <v>0</v>
      </c>
    </row>
    <row r="1331" spans="1:12" ht="15">
      <c r="A1331" s="81" t="s">
        <v>2303</v>
      </c>
      <c r="B1331" s="80" t="s">
        <v>2524</v>
      </c>
      <c r="C1331" s="80">
        <v>2</v>
      </c>
      <c r="D1331" s="104">
        <v>0.0012405082238900324</v>
      </c>
      <c r="E1331" s="104">
        <v>2.505149978319906</v>
      </c>
      <c r="F1331" s="80" t="s">
        <v>2186</v>
      </c>
      <c r="G1331" s="80" t="b">
        <v>0</v>
      </c>
      <c r="H1331" s="80" t="b">
        <v>0</v>
      </c>
      <c r="I1331" s="80" t="b">
        <v>0</v>
      </c>
      <c r="J1331" s="80" t="b">
        <v>0</v>
      </c>
      <c r="K1331" s="80" t="b">
        <v>0</v>
      </c>
      <c r="L1331" s="80" t="b">
        <v>0</v>
      </c>
    </row>
    <row r="1332" spans="1:12" ht="15">
      <c r="A1332" s="81" t="s">
        <v>2716</v>
      </c>
      <c r="B1332" s="80" t="s">
        <v>2622</v>
      </c>
      <c r="C1332" s="80">
        <v>2</v>
      </c>
      <c r="D1332" s="104">
        <v>0.00165401096518671</v>
      </c>
      <c r="E1332" s="104">
        <v>2.505149978319906</v>
      </c>
      <c r="F1332" s="80" t="s">
        <v>2186</v>
      </c>
      <c r="G1332" s="80" t="b">
        <v>0</v>
      </c>
      <c r="H1332" s="80" t="b">
        <v>0</v>
      </c>
      <c r="I1332" s="80" t="b">
        <v>0</v>
      </c>
      <c r="J1332" s="80" t="b">
        <v>0</v>
      </c>
      <c r="K1332" s="80" t="b">
        <v>0</v>
      </c>
      <c r="L1332" s="80" t="b">
        <v>0</v>
      </c>
    </row>
    <row r="1333" spans="1:12" ht="15">
      <c r="A1333" s="81" t="s">
        <v>2217</v>
      </c>
      <c r="B1333" s="80" t="s">
        <v>2242</v>
      </c>
      <c r="C1333" s="80">
        <v>2</v>
      </c>
      <c r="D1333" s="104">
        <v>0.0012405082238900324</v>
      </c>
      <c r="E1333" s="104">
        <v>1.5351132016973492</v>
      </c>
      <c r="F1333" s="80" t="s">
        <v>2186</v>
      </c>
      <c r="G1333" s="80" t="b">
        <v>0</v>
      </c>
      <c r="H1333" s="80" t="b">
        <v>0</v>
      </c>
      <c r="I1333" s="80" t="b">
        <v>0</v>
      </c>
      <c r="J1333" s="80" t="b">
        <v>0</v>
      </c>
      <c r="K1333" s="80" t="b">
        <v>0</v>
      </c>
      <c r="L1333" s="80" t="b">
        <v>0</v>
      </c>
    </row>
    <row r="1334" spans="1:12" ht="15">
      <c r="A1334" s="81" t="s">
        <v>2876</v>
      </c>
      <c r="B1334" s="80" t="s">
        <v>2301</v>
      </c>
      <c r="C1334" s="80">
        <v>2</v>
      </c>
      <c r="D1334" s="104">
        <v>0.0012405082238900324</v>
      </c>
      <c r="E1334" s="104">
        <v>2.8573324964312685</v>
      </c>
      <c r="F1334" s="80" t="s">
        <v>2186</v>
      </c>
      <c r="G1334" s="80" t="b">
        <v>0</v>
      </c>
      <c r="H1334" s="80" t="b">
        <v>0</v>
      </c>
      <c r="I1334" s="80" t="b">
        <v>0</v>
      </c>
      <c r="J1334" s="80" t="b">
        <v>0</v>
      </c>
      <c r="K1334" s="80" t="b">
        <v>0</v>
      </c>
      <c r="L1334" s="80" t="b">
        <v>0</v>
      </c>
    </row>
    <row r="1335" spans="1:12" ht="15">
      <c r="A1335" s="81" t="s">
        <v>2381</v>
      </c>
      <c r="B1335" s="80" t="s">
        <v>2314</v>
      </c>
      <c r="C1335" s="80">
        <v>2</v>
      </c>
      <c r="D1335" s="104">
        <v>0.0012405082238900324</v>
      </c>
      <c r="E1335" s="104">
        <v>2.1583624920952498</v>
      </c>
      <c r="F1335" s="80" t="s">
        <v>2186</v>
      </c>
      <c r="G1335" s="80" t="b">
        <v>0</v>
      </c>
      <c r="H1335" s="80" t="b">
        <v>0</v>
      </c>
      <c r="I1335" s="80" t="b">
        <v>0</v>
      </c>
      <c r="J1335" s="80" t="b">
        <v>0</v>
      </c>
      <c r="K1335" s="80" t="b">
        <v>0</v>
      </c>
      <c r="L1335" s="80" t="b">
        <v>0</v>
      </c>
    </row>
    <row r="1336" spans="1:12" ht="15">
      <c r="A1336" s="81" t="s">
        <v>2489</v>
      </c>
      <c r="B1336" s="80" t="s">
        <v>2575</v>
      </c>
      <c r="C1336" s="80">
        <v>2</v>
      </c>
      <c r="D1336" s="104">
        <v>0.0012405082238900324</v>
      </c>
      <c r="E1336" s="104">
        <v>2.8573324964312685</v>
      </c>
      <c r="F1336" s="80" t="s">
        <v>2186</v>
      </c>
      <c r="G1336" s="80" t="b">
        <v>0</v>
      </c>
      <c r="H1336" s="80" t="b">
        <v>0</v>
      </c>
      <c r="I1336" s="80" t="b">
        <v>0</v>
      </c>
      <c r="J1336" s="80" t="b">
        <v>0</v>
      </c>
      <c r="K1336" s="80" t="b">
        <v>0</v>
      </c>
      <c r="L1336" s="80" t="b">
        <v>0</v>
      </c>
    </row>
    <row r="1337" spans="1:12" ht="15">
      <c r="A1337" s="81" t="s">
        <v>2425</v>
      </c>
      <c r="B1337" s="80" t="s">
        <v>2237</v>
      </c>
      <c r="C1337" s="80">
        <v>2</v>
      </c>
      <c r="D1337" s="104">
        <v>0.0012405082238900324</v>
      </c>
      <c r="E1337" s="104">
        <v>1.9030899869919435</v>
      </c>
      <c r="F1337" s="80" t="s">
        <v>2186</v>
      </c>
      <c r="G1337" s="80" t="b">
        <v>0</v>
      </c>
      <c r="H1337" s="80" t="b">
        <v>0</v>
      </c>
      <c r="I1337" s="80" t="b">
        <v>0</v>
      </c>
      <c r="J1337" s="80" t="b">
        <v>0</v>
      </c>
      <c r="K1337" s="80" t="b">
        <v>0</v>
      </c>
      <c r="L1337" s="80" t="b">
        <v>0</v>
      </c>
    </row>
    <row r="1338" spans="1:12" ht="15">
      <c r="A1338" s="81" t="s">
        <v>2756</v>
      </c>
      <c r="B1338" s="80" t="s">
        <v>2800</v>
      </c>
      <c r="C1338" s="80">
        <v>2</v>
      </c>
      <c r="D1338" s="104">
        <v>0.00165401096518671</v>
      </c>
      <c r="E1338" s="104">
        <v>2.505149978319906</v>
      </c>
      <c r="F1338" s="80" t="s">
        <v>2186</v>
      </c>
      <c r="G1338" s="80" t="b">
        <v>0</v>
      </c>
      <c r="H1338" s="80" t="b">
        <v>0</v>
      </c>
      <c r="I1338" s="80" t="b">
        <v>0</v>
      </c>
      <c r="J1338" s="80" t="b">
        <v>0</v>
      </c>
      <c r="K1338" s="80" t="b">
        <v>0</v>
      </c>
      <c r="L1338" s="80" t="b">
        <v>0</v>
      </c>
    </row>
    <row r="1339" spans="1:12" ht="15">
      <c r="A1339" s="81" t="s">
        <v>2551</v>
      </c>
      <c r="B1339" s="80" t="s">
        <v>3126</v>
      </c>
      <c r="C1339" s="80">
        <v>2</v>
      </c>
      <c r="D1339" s="104">
        <v>0.0012405082238900324</v>
      </c>
      <c r="E1339" s="104">
        <v>2.8573324964312685</v>
      </c>
      <c r="F1339" s="80" t="s">
        <v>2186</v>
      </c>
      <c r="G1339" s="80" t="b">
        <v>0</v>
      </c>
      <c r="H1339" s="80" t="b">
        <v>0</v>
      </c>
      <c r="I1339" s="80" t="b">
        <v>0</v>
      </c>
      <c r="J1339" s="80" t="b">
        <v>0</v>
      </c>
      <c r="K1339" s="80" t="b">
        <v>0</v>
      </c>
      <c r="L1339" s="80" t="b">
        <v>0</v>
      </c>
    </row>
    <row r="1340" spans="1:12" ht="15">
      <c r="A1340" s="81" t="s">
        <v>3253</v>
      </c>
      <c r="B1340" s="80" t="s">
        <v>2309</v>
      </c>
      <c r="C1340" s="80">
        <v>2</v>
      </c>
      <c r="D1340" s="104">
        <v>0.0012405082238900324</v>
      </c>
      <c r="E1340" s="104">
        <v>2.681241237375587</v>
      </c>
      <c r="F1340" s="80" t="s">
        <v>2186</v>
      </c>
      <c r="G1340" s="80" t="b">
        <v>0</v>
      </c>
      <c r="H1340" s="80" t="b">
        <v>0</v>
      </c>
      <c r="I1340" s="80" t="b">
        <v>0</v>
      </c>
      <c r="J1340" s="80" t="b">
        <v>0</v>
      </c>
      <c r="K1340" s="80" t="b">
        <v>0</v>
      </c>
      <c r="L1340" s="80" t="b">
        <v>0</v>
      </c>
    </row>
    <row r="1341" spans="1:12" ht="15">
      <c r="A1341" s="81" t="s">
        <v>2547</v>
      </c>
      <c r="B1341" s="80" t="s">
        <v>2276</v>
      </c>
      <c r="C1341" s="80">
        <v>2</v>
      </c>
      <c r="D1341" s="104">
        <v>0.0012405082238900324</v>
      </c>
      <c r="E1341" s="104">
        <v>2.0280287236002437</v>
      </c>
      <c r="F1341" s="80" t="s">
        <v>2186</v>
      </c>
      <c r="G1341" s="80" t="b">
        <v>0</v>
      </c>
      <c r="H1341" s="80" t="b">
        <v>0</v>
      </c>
      <c r="I1341" s="80" t="b">
        <v>0</v>
      </c>
      <c r="J1341" s="80" t="b">
        <v>0</v>
      </c>
      <c r="K1341" s="80" t="b">
        <v>0</v>
      </c>
      <c r="L1341" s="80" t="b">
        <v>0</v>
      </c>
    </row>
    <row r="1342" spans="1:12" ht="15">
      <c r="A1342" s="81" t="s">
        <v>2556</v>
      </c>
      <c r="B1342" s="80" t="s">
        <v>2216</v>
      </c>
      <c r="C1342" s="80">
        <v>2</v>
      </c>
      <c r="D1342" s="104">
        <v>0.0012405082238900324</v>
      </c>
      <c r="E1342" s="104">
        <v>2.0122344564170116</v>
      </c>
      <c r="F1342" s="80" t="s">
        <v>2186</v>
      </c>
      <c r="G1342" s="80" t="b">
        <v>0</v>
      </c>
      <c r="H1342" s="80" t="b">
        <v>0</v>
      </c>
      <c r="I1342" s="80" t="b">
        <v>0</v>
      </c>
      <c r="J1342" s="80" t="b">
        <v>0</v>
      </c>
      <c r="K1342" s="80" t="b">
        <v>0</v>
      </c>
      <c r="L1342" s="80" t="b">
        <v>0</v>
      </c>
    </row>
    <row r="1343" spans="1:12" ht="15">
      <c r="A1343" s="81" t="s">
        <v>2412</v>
      </c>
      <c r="B1343" s="80" t="s">
        <v>2311</v>
      </c>
      <c r="C1343" s="80">
        <v>2</v>
      </c>
      <c r="D1343" s="104">
        <v>0.0012405082238900324</v>
      </c>
      <c r="E1343" s="104">
        <v>2.5563025007672873</v>
      </c>
      <c r="F1343" s="80" t="s">
        <v>2186</v>
      </c>
      <c r="G1343" s="80" t="b">
        <v>0</v>
      </c>
      <c r="H1343" s="80" t="b">
        <v>0</v>
      </c>
      <c r="I1343" s="80" t="b">
        <v>0</v>
      </c>
      <c r="J1343" s="80" t="b">
        <v>0</v>
      </c>
      <c r="K1343" s="80" t="b">
        <v>0</v>
      </c>
      <c r="L1343" s="80" t="b">
        <v>0</v>
      </c>
    </row>
    <row r="1344" spans="1:12" ht="15">
      <c r="A1344" s="81" t="s">
        <v>2309</v>
      </c>
      <c r="B1344" s="80" t="s">
        <v>2556</v>
      </c>
      <c r="C1344" s="80">
        <v>2</v>
      </c>
      <c r="D1344" s="104">
        <v>0.0012405082238900324</v>
      </c>
      <c r="E1344" s="104">
        <v>2.681241237375587</v>
      </c>
      <c r="F1344" s="80" t="s">
        <v>2186</v>
      </c>
      <c r="G1344" s="80" t="b">
        <v>0</v>
      </c>
      <c r="H1344" s="80" t="b">
        <v>0</v>
      </c>
      <c r="I1344" s="80" t="b">
        <v>0</v>
      </c>
      <c r="J1344" s="80" t="b">
        <v>0</v>
      </c>
      <c r="K1344" s="80" t="b">
        <v>0</v>
      </c>
      <c r="L1344" s="80" t="b">
        <v>0</v>
      </c>
    </row>
    <row r="1345" spans="1:12" ht="15">
      <c r="A1345" s="81" t="s">
        <v>2307</v>
      </c>
      <c r="B1345" s="80" t="s">
        <v>2410</v>
      </c>
      <c r="C1345" s="80">
        <v>2</v>
      </c>
      <c r="D1345" s="104">
        <v>0.0012405082238900324</v>
      </c>
      <c r="E1345" s="104">
        <v>2.5563025007672873</v>
      </c>
      <c r="F1345" s="80" t="s">
        <v>2186</v>
      </c>
      <c r="G1345" s="80" t="b">
        <v>0</v>
      </c>
      <c r="H1345" s="80" t="b">
        <v>0</v>
      </c>
      <c r="I1345" s="80" t="b">
        <v>0</v>
      </c>
      <c r="J1345" s="80" t="b">
        <v>0</v>
      </c>
      <c r="K1345" s="80" t="b">
        <v>0</v>
      </c>
      <c r="L1345" s="80" t="b">
        <v>0</v>
      </c>
    </row>
    <row r="1346" spans="1:12" ht="15">
      <c r="A1346" s="81" t="s">
        <v>3099</v>
      </c>
      <c r="B1346" s="80" t="s">
        <v>2397</v>
      </c>
      <c r="C1346" s="80">
        <v>2</v>
      </c>
      <c r="D1346" s="104">
        <v>0.0012405082238900324</v>
      </c>
      <c r="E1346" s="104">
        <v>2.459392487759231</v>
      </c>
      <c r="F1346" s="80" t="s">
        <v>2186</v>
      </c>
      <c r="G1346" s="80" t="b">
        <v>0</v>
      </c>
      <c r="H1346" s="80" t="b">
        <v>0</v>
      </c>
      <c r="I1346" s="80" t="b">
        <v>0</v>
      </c>
      <c r="J1346" s="80" t="b">
        <v>0</v>
      </c>
      <c r="K1346" s="80" t="b">
        <v>0</v>
      </c>
      <c r="L1346" s="80" t="b">
        <v>0</v>
      </c>
    </row>
    <row r="1347" spans="1:12" ht="15">
      <c r="A1347" s="81" t="s">
        <v>2397</v>
      </c>
      <c r="B1347" s="80" t="s">
        <v>2276</v>
      </c>
      <c r="C1347" s="80">
        <v>2</v>
      </c>
      <c r="D1347" s="104">
        <v>0.0012405082238900324</v>
      </c>
      <c r="E1347" s="104">
        <v>1.806179973983887</v>
      </c>
      <c r="F1347" s="80" t="s">
        <v>2186</v>
      </c>
      <c r="G1347" s="80" t="b">
        <v>0</v>
      </c>
      <c r="H1347" s="80" t="b">
        <v>0</v>
      </c>
      <c r="I1347" s="80" t="b">
        <v>0</v>
      </c>
      <c r="J1347" s="80" t="b">
        <v>0</v>
      </c>
      <c r="K1347" s="80" t="b">
        <v>0</v>
      </c>
      <c r="L1347" s="80" t="b">
        <v>0</v>
      </c>
    </row>
    <row r="1348" spans="1:12" ht="15">
      <c r="A1348" s="81" t="s">
        <v>2886</v>
      </c>
      <c r="B1348" s="80" t="s">
        <v>2270</v>
      </c>
      <c r="C1348" s="80">
        <v>2</v>
      </c>
      <c r="D1348" s="104">
        <v>0.0012405082238900324</v>
      </c>
      <c r="E1348" s="104">
        <v>2.2041199826559246</v>
      </c>
      <c r="F1348" s="80" t="s">
        <v>2186</v>
      </c>
      <c r="G1348" s="80" t="b">
        <v>1</v>
      </c>
      <c r="H1348" s="80" t="b">
        <v>0</v>
      </c>
      <c r="I1348" s="80" t="b">
        <v>0</v>
      </c>
      <c r="J1348" s="80" t="b">
        <v>0</v>
      </c>
      <c r="K1348" s="80" t="b">
        <v>0</v>
      </c>
      <c r="L1348" s="80" t="b">
        <v>0</v>
      </c>
    </row>
    <row r="1349" spans="1:12" ht="15">
      <c r="A1349" s="81" t="s">
        <v>2223</v>
      </c>
      <c r="B1349" s="80" t="s">
        <v>2269</v>
      </c>
      <c r="C1349" s="80">
        <v>2</v>
      </c>
      <c r="D1349" s="104">
        <v>0.00165401096518671</v>
      </c>
      <c r="E1349" s="104">
        <v>2.459392487759231</v>
      </c>
      <c r="F1349" s="80" t="s">
        <v>2186</v>
      </c>
      <c r="G1349" s="80" t="b">
        <v>0</v>
      </c>
      <c r="H1349" s="80" t="b">
        <v>0</v>
      </c>
      <c r="I1349" s="80" t="b">
        <v>0</v>
      </c>
      <c r="J1349" s="80" t="b">
        <v>0</v>
      </c>
      <c r="K1349" s="80" t="b">
        <v>0</v>
      </c>
      <c r="L1349" s="80" t="b">
        <v>0</v>
      </c>
    </row>
    <row r="1350" spans="1:12" ht="15">
      <c r="A1350" s="81" t="s">
        <v>2321</v>
      </c>
      <c r="B1350" s="80" t="s">
        <v>3099</v>
      </c>
      <c r="C1350" s="80">
        <v>2</v>
      </c>
      <c r="D1350" s="104">
        <v>0.0012405082238900324</v>
      </c>
      <c r="E1350" s="104">
        <v>2.2041199826559246</v>
      </c>
      <c r="F1350" s="80" t="s">
        <v>2186</v>
      </c>
      <c r="G1350" s="80" t="b">
        <v>0</v>
      </c>
      <c r="H1350" s="80" t="b">
        <v>0</v>
      </c>
      <c r="I1350" s="80" t="b">
        <v>0</v>
      </c>
      <c r="J1350" s="80" t="b">
        <v>0</v>
      </c>
      <c r="K1350" s="80" t="b">
        <v>0</v>
      </c>
      <c r="L1350" s="80" t="b">
        <v>0</v>
      </c>
    </row>
    <row r="1351" spans="1:12" ht="15">
      <c r="A1351" s="81" t="s">
        <v>2235</v>
      </c>
      <c r="B1351" s="80" t="s">
        <v>2252</v>
      </c>
      <c r="C1351" s="80">
        <v>2</v>
      </c>
      <c r="D1351" s="104">
        <v>0.0012405082238900324</v>
      </c>
      <c r="E1351" s="104">
        <v>1.9030899869919435</v>
      </c>
      <c r="F1351" s="80" t="s">
        <v>2186</v>
      </c>
      <c r="G1351" s="80" t="b">
        <v>0</v>
      </c>
      <c r="H1351" s="80" t="b">
        <v>0</v>
      </c>
      <c r="I1351" s="80" t="b">
        <v>0</v>
      </c>
      <c r="J1351" s="80" t="b">
        <v>0</v>
      </c>
      <c r="K1351" s="80" t="b">
        <v>0</v>
      </c>
      <c r="L1351" s="80" t="b">
        <v>0</v>
      </c>
    </row>
    <row r="1352" spans="1:12" ht="15">
      <c r="A1352" s="81" t="s">
        <v>2261</v>
      </c>
      <c r="B1352" s="80" t="s">
        <v>2359</v>
      </c>
      <c r="C1352" s="80">
        <v>2</v>
      </c>
      <c r="D1352" s="104">
        <v>0.0012405082238900324</v>
      </c>
      <c r="E1352" s="104">
        <v>2.0791812460476247</v>
      </c>
      <c r="F1352" s="80" t="s">
        <v>2186</v>
      </c>
      <c r="G1352" s="80" t="b">
        <v>1</v>
      </c>
      <c r="H1352" s="80" t="b">
        <v>0</v>
      </c>
      <c r="I1352" s="80" t="b">
        <v>0</v>
      </c>
      <c r="J1352" s="80" t="b">
        <v>0</v>
      </c>
      <c r="K1352" s="80" t="b">
        <v>0</v>
      </c>
      <c r="L1352" s="80" t="b">
        <v>0</v>
      </c>
    </row>
    <row r="1353" spans="1:12" ht="15">
      <c r="A1353" s="81" t="s">
        <v>2457</v>
      </c>
      <c r="B1353" s="80" t="s">
        <v>2429</v>
      </c>
      <c r="C1353" s="80">
        <v>2</v>
      </c>
      <c r="D1353" s="104">
        <v>0.0012405082238900324</v>
      </c>
      <c r="E1353" s="104">
        <v>2.0791812460476247</v>
      </c>
      <c r="F1353" s="80" t="s">
        <v>2186</v>
      </c>
      <c r="G1353" s="80" t="b">
        <v>0</v>
      </c>
      <c r="H1353" s="80" t="b">
        <v>0</v>
      </c>
      <c r="I1353" s="80" t="b">
        <v>0</v>
      </c>
      <c r="J1353" s="80" t="b">
        <v>0</v>
      </c>
      <c r="K1353" s="80" t="b">
        <v>0</v>
      </c>
      <c r="L1353" s="80" t="b">
        <v>0</v>
      </c>
    </row>
    <row r="1354" spans="1:12" ht="15">
      <c r="A1354" s="81" t="s">
        <v>2320</v>
      </c>
      <c r="B1354" s="80" t="s">
        <v>2608</v>
      </c>
      <c r="C1354" s="80">
        <v>2</v>
      </c>
      <c r="D1354" s="104">
        <v>0.0012405082238900324</v>
      </c>
      <c r="E1354" s="104">
        <v>2.255272505103306</v>
      </c>
      <c r="F1354" s="80" t="s">
        <v>2186</v>
      </c>
      <c r="G1354" s="80" t="b">
        <v>0</v>
      </c>
      <c r="H1354" s="80" t="b">
        <v>0</v>
      </c>
      <c r="I1354" s="80" t="b">
        <v>0</v>
      </c>
      <c r="J1354" s="80" t="b">
        <v>0</v>
      </c>
      <c r="K1354" s="80" t="b">
        <v>0</v>
      </c>
      <c r="L1354" s="80" t="b">
        <v>0</v>
      </c>
    </row>
    <row r="1355" spans="1:12" ht="15">
      <c r="A1355" s="81" t="s">
        <v>2728</v>
      </c>
      <c r="B1355" s="80" t="s">
        <v>3015</v>
      </c>
      <c r="C1355" s="80">
        <v>2</v>
      </c>
      <c r="D1355" s="104">
        <v>0.0012405082238900324</v>
      </c>
      <c r="E1355" s="104">
        <v>2.8573324964312685</v>
      </c>
      <c r="F1355" s="80" t="s">
        <v>2186</v>
      </c>
      <c r="G1355" s="80" t="b">
        <v>0</v>
      </c>
      <c r="H1355" s="80" t="b">
        <v>0</v>
      </c>
      <c r="I1355" s="80" t="b">
        <v>0</v>
      </c>
      <c r="J1355" s="80" t="b">
        <v>0</v>
      </c>
      <c r="K1355" s="80" t="b">
        <v>0</v>
      </c>
      <c r="L1355" s="80" t="b">
        <v>0</v>
      </c>
    </row>
    <row r="1356" spans="1:12" ht="15">
      <c r="A1356" s="81" t="s">
        <v>2235</v>
      </c>
      <c r="B1356" s="80" t="s">
        <v>2886</v>
      </c>
      <c r="C1356" s="80">
        <v>2</v>
      </c>
      <c r="D1356" s="104">
        <v>0.0012405082238900324</v>
      </c>
      <c r="E1356" s="104">
        <v>2.0791812460476247</v>
      </c>
      <c r="F1356" s="80" t="s">
        <v>2186</v>
      </c>
      <c r="G1356" s="80" t="b">
        <v>0</v>
      </c>
      <c r="H1356" s="80" t="b">
        <v>0</v>
      </c>
      <c r="I1356" s="80" t="b">
        <v>0</v>
      </c>
      <c r="J1356" s="80" t="b">
        <v>1</v>
      </c>
      <c r="K1356" s="80" t="b">
        <v>0</v>
      </c>
      <c r="L1356" s="80" t="b">
        <v>0</v>
      </c>
    </row>
    <row r="1357" spans="1:12" ht="15">
      <c r="A1357" s="81" t="s">
        <v>2237</v>
      </c>
      <c r="B1357" s="80" t="s">
        <v>2948</v>
      </c>
      <c r="C1357" s="80">
        <v>2</v>
      </c>
      <c r="D1357" s="104">
        <v>0.0012405082238900324</v>
      </c>
      <c r="E1357" s="104">
        <v>2.0791812460476247</v>
      </c>
      <c r="F1357" s="80" t="s">
        <v>2186</v>
      </c>
      <c r="G1357" s="80" t="b">
        <v>0</v>
      </c>
      <c r="H1357" s="80" t="b">
        <v>0</v>
      </c>
      <c r="I1357" s="80" t="b">
        <v>0</v>
      </c>
      <c r="J1357" s="80" t="b">
        <v>0</v>
      </c>
      <c r="K1357" s="80" t="b">
        <v>0</v>
      </c>
      <c r="L1357" s="80" t="b">
        <v>0</v>
      </c>
    </row>
    <row r="1358" spans="1:12" ht="15">
      <c r="A1358" s="81" t="s">
        <v>2417</v>
      </c>
      <c r="B1358" s="80" t="s">
        <v>2661</v>
      </c>
      <c r="C1358" s="80">
        <v>2</v>
      </c>
      <c r="D1358" s="104">
        <v>0.0012405082238900324</v>
      </c>
      <c r="E1358" s="104">
        <v>2.681241237375587</v>
      </c>
      <c r="F1358" s="80" t="s">
        <v>2186</v>
      </c>
      <c r="G1358" s="80" t="b">
        <v>0</v>
      </c>
      <c r="H1358" s="80" t="b">
        <v>0</v>
      </c>
      <c r="I1358" s="80" t="b">
        <v>0</v>
      </c>
      <c r="J1358" s="80" t="b">
        <v>0</v>
      </c>
      <c r="K1358" s="80" t="b">
        <v>0</v>
      </c>
      <c r="L1358" s="80" t="b">
        <v>0</v>
      </c>
    </row>
    <row r="1359" spans="1:12" ht="15">
      <c r="A1359" s="81" t="s">
        <v>2825</v>
      </c>
      <c r="B1359" s="80" t="s">
        <v>2485</v>
      </c>
      <c r="C1359" s="80">
        <v>2</v>
      </c>
      <c r="D1359" s="104">
        <v>0.0012405082238900324</v>
      </c>
      <c r="E1359" s="104">
        <v>2.8573324964312685</v>
      </c>
      <c r="F1359" s="80" t="s">
        <v>2186</v>
      </c>
      <c r="G1359" s="80" t="b">
        <v>0</v>
      </c>
      <c r="H1359" s="80" t="b">
        <v>0</v>
      </c>
      <c r="I1359" s="80" t="b">
        <v>0</v>
      </c>
      <c r="J1359" s="80" t="b">
        <v>0</v>
      </c>
      <c r="K1359" s="80" t="b">
        <v>0</v>
      </c>
      <c r="L1359" s="80" t="b">
        <v>0</v>
      </c>
    </row>
    <row r="1360" spans="1:12" ht="15">
      <c r="A1360" s="81" t="s">
        <v>2524</v>
      </c>
      <c r="B1360" s="80" t="s">
        <v>2270</v>
      </c>
      <c r="C1360" s="80">
        <v>2</v>
      </c>
      <c r="D1360" s="104">
        <v>0.0012405082238900324</v>
      </c>
      <c r="E1360" s="104">
        <v>2.0280287236002437</v>
      </c>
      <c r="F1360" s="80" t="s">
        <v>2186</v>
      </c>
      <c r="G1360" s="80" t="b">
        <v>0</v>
      </c>
      <c r="H1360" s="80" t="b">
        <v>0</v>
      </c>
      <c r="I1360" s="80" t="b">
        <v>0</v>
      </c>
      <c r="J1360" s="80" t="b">
        <v>0</v>
      </c>
      <c r="K1360" s="80" t="b">
        <v>0</v>
      </c>
      <c r="L1360" s="80" t="b">
        <v>0</v>
      </c>
    </row>
    <row r="1361" spans="1:12" ht="15">
      <c r="A1361" s="81" t="s">
        <v>2238</v>
      </c>
      <c r="B1361" s="80" t="s">
        <v>2991</v>
      </c>
      <c r="C1361" s="80">
        <v>2</v>
      </c>
      <c r="D1361" s="104">
        <v>0.0012405082238900324</v>
      </c>
      <c r="E1361" s="104">
        <v>2.044419139788413</v>
      </c>
      <c r="F1361" s="80" t="s">
        <v>2186</v>
      </c>
      <c r="G1361" s="80" t="b">
        <v>0</v>
      </c>
      <c r="H1361" s="80" t="b">
        <v>0</v>
      </c>
      <c r="I1361" s="80" t="b">
        <v>0</v>
      </c>
      <c r="J1361" s="80" t="b">
        <v>0</v>
      </c>
      <c r="K1361" s="80" t="b">
        <v>0</v>
      </c>
      <c r="L1361" s="80" t="b">
        <v>0</v>
      </c>
    </row>
    <row r="1362" spans="1:12" ht="15">
      <c r="A1362" s="81" t="s">
        <v>2250</v>
      </c>
      <c r="B1362" s="80" t="s">
        <v>2346</v>
      </c>
      <c r="C1362" s="80">
        <v>2</v>
      </c>
      <c r="D1362" s="104">
        <v>0.0012405082238900324</v>
      </c>
      <c r="E1362" s="104">
        <v>1.7781512503836436</v>
      </c>
      <c r="F1362" s="80" t="s">
        <v>2186</v>
      </c>
      <c r="G1362" s="80" t="b">
        <v>0</v>
      </c>
      <c r="H1362" s="80" t="b">
        <v>0</v>
      </c>
      <c r="I1362" s="80" t="b">
        <v>0</v>
      </c>
      <c r="J1362" s="80" t="b">
        <v>0</v>
      </c>
      <c r="K1362" s="80" t="b">
        <v>0</v>
      </c>
      <c r="L1362" s="80" t="b">
        <v>0</v>
      </c>
    </row>
    <row r="1363" spans="1:12" ht="15">
      <c r="A1363" s="81" t="s">
        <v>3336</v>
      </c>
      <c r="B1363" s="80" t="s">
        <v>3330</v>
      </c>
      <c r="C1363" s="80">
        <v>2</v>
      </c>
      <c r="D1363" s="104">
        <v>0.00165401096518671</v>
      </c>
      <c r="E1363" s="104">
        <v>2.8573324964312685</v>
      </c>
      <c r="F1363" s="80" t="s">
        <v>2186</v>
      </c>
      <c r="G1363" s="80" t="b">
        <v>0</v>
      </c>
      <c r="H1363" s="80" t="b">
        <v>0</v>
      </c>
      <c r="I1363" s="80" t="b">
        <v>0</v>
      </c>
      <c r="J1363" s="80" t="b">
        <v>0</v>
      </c>
      <c r="K1363" s="80" t="b">
        <v>0</v>
      </c>
      <c r="L1363" s="80" t="b">
        <v>0</v>
      </c>
    </row>
    <row r="1364" spans="1:12" ht="15">
      <c r="A1364" s="81" t="s">
        <v>2321</v>
      </c>
      <c r="B1364" s="80" t="s">
        <v>2242</v>
      </c>
      <c r="C1364" s="80">
        <v>2</v>
      </c>
      <c r="D1364" s="104">
        <v>0.0012405082238900324</v>
      </c>
      <c r="E1364" s="104">
        <v>1.7269987279362624</v>
      </c>
      <c r="F1364" s="80" t="s">
        <v>2186</v>
      </c>
      <c r="G1364" s="80" t="b">
        <v>0</v>
      </c>
      <c r="H1364" s="80" t="b">
        <v>0</v>
      </c>
      <c r="I1364" s="80" t="b">
        <v>0</v>
      </c>
      <c r="J1364" s="80" t="b">
        <v>0</v>
      </c>
      <c r="K1364" s="80" t="b">
        <v>0</v>
      </c>
      <c r="L1364" s="80" t="b">
        <v>0</v>
      </c>
    </row>
    <row r="1365" spans="1:12" ht="15">
      <c r="A1365" s="81" t="s">
        <v>2409</v>
      </c>
      <c r="B1365" s="80" t="s">
        <v>2424</v>
      </c>
      <c r="C1365" s="80">
        <v>2</v>
      </c>
      <c r="D1365" s="104">
        <v>0.00165401096518671</v>
      </c>
      <c r="E1365" s="104">
        <v>2.681241237375587</v>
      </c>
      <c r="F1365" s="80" t="s">
        <v>2186</v>
      </c>
      <c r="G1365" s="80" t="b">
        <v>0</v>
      </c>
      <c r="H1365" s="80" t="b">
        <v>0</v>
      </c>
      <c r="I1365" s="80" t="b">
        <v>0</v>
      </c>
      <c r="J1365" s="80" t="b">
        <v>0</v>
      </c>
      <c r="K1365" s="80" t="b">
        <v>0</v>
      </c>
      <c r="L1365" s="80" t="b">
        <v>0</v>
      </c>
    </row>
    <row r="1366" spans="1:12" ht="15">
      <c r="A1366" s="81" t="s">
        <v>2983</v>
      </c>
      <c r="B1366" s="80" t="s">
        <v>2682</v>
      </c>
      <c r="C1366" s="80">
        <v>2</v>
      </c>
      <c r="D1366" s="104">
        <v>0.0012405082238900324</v>
      </c>
      <c r="E1366" s="104">
        <v>2.8573324964312685</v>
      </c>
      <c r="F1366" s="80" t="s">
        <v>2186</v>
      </c>
      <c r="G1366" s="80" t="b">
        <v>1</v>
      </c>
      <c r="H1366" s="80" t="b">
        <v>0</v>
      </c>
      <c r="I1366" s="80" t="b">
        <v>0</v>
      </c>
      <c r="J1366" s="80" t="b">
        <v>0</v>
      </c>
      <c r="K1366" s="80" t="b">
        <v>0</v>
      </c>
      <c r="L1366" s="80" t="b">
        <v>0</v>
      </c>
    </row>
    <row r="1367" spans="1:12" ht="15">
      <c r="A1367" s="81" t="s">
        <v>2230</v>
      </c>
      <c r="B1367" s="80" t="s">
        <v>2363</v>
      </c>
      <c r="C1367" s="80">
        <v>2</v>
      </c>
      <c r="D1367" s="104">
        <v>0.00165401096518671</v>
      </c>
      <c r="E1367" s="104">
        <v>1.806179973983887</v>
      </c>
      <c r="F1367" s="80" t="s">
        <v>2186</v>
      </c>
      <c r="G1367" s="80" t="b">
        <v>0</v>
      </c>
      <c r="H1367" s="80" t="b">
        <v>0</v>
      </c>
      <c r="I1367" s="80" t="b">
        <v>0</v>
      </c>
      <c r="J1367" s="80" t="b">
        <v>0</v>
      </c>
      <c r="K1367" s="80" t="b">
        <v>0</v>
      </c>
      <c r="L1367" s="80" t="b">
        <v>0</v>
      </c>
    </row>
    <row r="1368" spans="1:12" ht="15">
      <c r="A1368" s="81" t="s">
        <v>2311</v>
      </c>
      <c r="B1368" s="80" t="s">
        <v>2232</v>
      </c>
      <c r="C1368" s="80">
        <v>2</v>
      </c>
      <c r="D1368" s="104">
        <v>0.0012405082238900324</v>
      </c>
      <c r="E1368" s="104">
        <v>2.380211241711606</v>
      </c>
      <c r="F1368" s="80" t="s">
        <v>2186</v>
      </c>
      <c r="G1368" s="80" t="b">
        <v>0</v>
      </c>
      <c r="H1368" s="80" t="b">
        <v>0</v>
      </c>
      <c r="I1368" s="80" t="b">
        <v>0</v>
      </c>
      <c r="J1368" s="80" t="b">
        <v>0</v>
      </c>
      <c r="K1368" s="80" t="b">
        <v>0</v>
      </c>
      <c r="L1368" s="80" t="b">
        <v>0</v>
      </c>
    </row>
    <row r="1369" spans="1:12" ht="15">
      <c r="A1369" s="81" t="s">
        <v>2816</v>
      </c>
      <c r="B1369" s="80" t="s">
        <v>2358</v>
      </c>
      <c r="C1369" s="80">
        <v>2</v>
      </c>
      <c r="D1369" s="104">
        <v>0.00165401096518671</v>
      </c>
      <c r="E1369" s="104">
        <v>2.459392487759231</v>
      </c>
      <c r="F1369" s="80" t="s">
        <v>2186</v>
      </c>
      <c r="G1369" s="80" t="b">
        <v>0</v>
      </c>
      <c r="H1369" s="80" t="b">
        <v>0</v>
      </c>
      <c r="I1369" s="80" t="b">
        <v>0</v>
      </c>
      <c r="J1369" s="80" t="b">
        <v>0</v>
      </c>
      <c r="K1369" s="80" t="b">
        <v>0</v>
      </c>
      <c r="L1369" s="80" t="b">
        <v>0</v>
      </c>
    </row>
    <row r="1370" spans="1:12" ht="15">
      <c r="A1370" s="81" t="s">
        <v>2439</v>
      </c>
      <c r="B1370" s="80" t="s">
        <v>2235</v>
      </c>
      <c r="C1370" s="80">
        <v>2</v>
      </c>
      <c r="D1370" s="104">
        <v>0.0012405082238900324</v>
      </c>
      <c r="E1370" s="104">
        <v>1.9030899869919435</v>
      </c>
      <c r="F1370" s="80" t="s">
        <v>2186</v>
      </c>
      <c r="G1370" s="80" t="b">
        <v>0</v>
      </c>
      <c r="H1370" s="80" t="b">
        <v>0</v>
      </c>
      <c r="I1370" s="80" t="b">
        <v>0</v>
      </c>
      <c r="J1370" s="80" t="b">
        <v>0</v>
      </c>
      <c r="K1370" s="80" t="b">
        <v>0</v>
      </c>
      <c r="L1370" s="80" t="b">
        <v>0</v>
      </c>
    </row>
    <row r="1371" spans="1:12" ht="15">
      <c r="A1371" s="81" t="s">
        <v>2948</v>
      </c>
      <c r="B1371" s="80" t="s">
        <v>2869</v>
      </c>
      <c r="C1371" s="80">
        <v>2</v>
      </c>
      <c r="D1371" s="104">
        <v>0.0012405082238900324</v>
      </c>
      <c r="E1371" s="104">
        <v>2.8573324964312685</v>
      </c>
      <c r="F1371" s="80" t="s">
        <v>2186</v>
      </c>
      <c r="G1371" s="80" t="b">
        <v>0</v>
      </c>
      <c r="H1371" s="80" t="b">
        <v>0</v>
      </c>
      <c r="I1371" s="80" t="b">
        <v>0</v>
      </c>
      <c r="J1371" s="80" t="b">
        <v>0</v>
      </c>
      <c r="K1371" s="80" t="b">
        <v>0</v>
      </c>
      <c r="L1371" s="80" t="b">
        <v>0</v>
      </c>
    </row>
    <row r="1372" spans="1:12" ht="15">
      <c r="A1372" s="81" t="s">
        <v>2549</v>
      </c>
      <c r="B1372" s="80" t="s">
        <v>2270</v>
      </c>
      <c r="C1372" s="80">
        <v>2</v>
      </c>
      <c r="D1372" s="104">
        <v>0.0012405082238900324</v>
      </c>
      <c r="E1372" s="104">
        <v>2.2041199826559246</v>
      </c>
      <c r="F1372" s="80" t="s">
        <v>2186</v>
      </c>
      <c r="G1372" s="80" t="b">
        <v>1</v>
      </c>
      <c r="H1372" s="80" t="b">
        <v>0</v>
      </c>
      <c r="I1372" s="80" t="b">
        <v>0</v>
      </c>
      <c r="J1372" s="80" t="b">
        <v>0</v>
      </c>
      <c r="K1372" s="80" t="b">
        <v>0</v>
      </c>
      <c r="L1372" s="80" t="b">
        <v>0</v>
      </c>
    </row>
    <row r="1373" spans="1:12" ht="15">
      <c r="A1373" s="81" t="s">
        <v>2394</v>
      </c>
      <c r="B1373" s="80" t="s">
        <v>2213</v>
      </c>
      <c r="C1373" s="80">
        <v>2</v>
      </c>
      <c r="D1373" s="104">
        <v>0.0012405082238900324</v>
      </c>
      <c r="E1373" s="104">
        <v>1.614294447744974</v>
      </c>
      <c r="F1373" s="80" t="s">
        <v>2186</v>
      </c>
      <c r="G1373" s="80" t="b">
        <v>0</v>
      </c>
      <c r="H1373" s="80" t="b">
        <v>0</v>
      </c>
      <c r="I1373" s="80" t="b">
        <v>0</v>
      </c>
      <c r="J1373" s="80" t="b">
        <v>0</v>
      </c>
      <c r="K1373" s="80" t="b">
        <v>0</v>
      </c>
      <c r="L1373" s="80" t="b">
        <v>0</v>
      </c>
    </row>
    <row r="1374" spans="1:12" ht="15">
      <c r="A1374" s="81" t="s">
        <v>2800</v>
      </c>
      <c r="B1374" s="80" t="s">
        <v>2986</v>
      </c>
      <c r="C1374" s="80">
        <v>2</v>
      </c>
      <c r="D1374" s="104">
        <v>0.00165401096518671</v>
      </c>
      <c r="E1374" s="104">
        <v>2.681241237375587</v>
      </c>
      <c r="F1374" s="80" t="s">
        <v>2186</v>
      </c>
      <c r="G1374" s="80" t="b">
        <v>0</v>
      </c>
      <c r="H1374" s="80" t="b">
        <v>0</v>
      </c>
      <c r="I1374" s="80" t="b">
        <v>0</v>
      </c>
      <c r="J1374" s="80" t="b">
        <v>0</v>
      </c>
      <c r="K1374" s="80" t="b">
        <v>0</v>
      </c>
      <c r="L1374" s="80" t="b">
        <v>0</v>
      </c>
    </row>
    <row r="1375" spans="1:12" ht="15">
      <c r="A1375" s="81" t="s">
        <v>2276</v>
      </c>
      <c r="B1375" s="80" t="s">
        <v>2246</v>
      </c>
      <c r="C1375" s="80">
        <v>2</v>
      </c>
      <c r="D1375" s="104">
        <v>0.0012405082238900324</v>
      </c>
      <c r="E1375" s="104">
        <v>1.806179973983887</v>
      </c>
      <c r="F1375" s="80" t="s">
        <v>2186</v>
      </c>
      <c r="G1375" s="80" t="b">
        <v>0</v>
      </c>
      <c r="H1375" s="80" t="b">
        <v>0</v>
      </c>
      <c r="I1375" s="80" t="b">
        <v>0</v>
      </c>
      <c r="J1375" s="80" t="b">
        <v>0</v>
      </c>
      <c r="K1375" s="80" t="b">
        <v>0</v>
      </c>
      <c r="L1375" s="80" t="b">
        <v>0</v>
      </c>
    </row>
    <row r="1376" spans="1:12" ht="15">
      <c r="A1376" s="81" t="s">
        <v>2359</v>
      </c>
      <c r="B1376" s="80" t="s">
        <v>2429</v>
      </c>
      <c r="C1376" s="80">
        <v>2</v>
      </c>
      <c r="D1376" s="104">
        <v>0.0012405082238900324</v>
      </c>
      <c r="E1376" s="104">
        <v>1.9030899869919435</v>
      </c>
      <c r="F1376" s="80" t="s">
        <v>2186</v>
      </c>
      <c r="G1376" s="80" t="b">
        <v>0</v>
      </c>
      <c r="H1376" s="80" t="b">
        <v>0</v>
      </c>
      <c r="I1376" s="80" t="b">
        <v>0</v>
      </c>
      <c r="J1376" s="80" t="b">
        <v>0</v>
      </c>
      <c r="K1376" s="80" t="b">
        <v>0</v>
      </c>
      <c r="L1376" s="80" t="b">
        <v>0</v>
      </c>
    </row>
    <row r="1377" spans="1:12" ht="15">
      <c r="A1377" s="81" t="s">
        <v>3206</v>
      </c>
      <c r="B1377" s="80" t="s">
        <v>2230</v>
      </c>
      <c r="C1377" s="80">
        <v>2</v>
      </c>
      <c r="D1377" s="104">
        <v>0.0012405082238900324</v>
      </c>
      <c r="E1377" s="104">
        <v>2.2041199826559246</v>
      </c>
      <c r="F1377" s="80" t="s">
        <v>2186</v>
      </c>
      <c r="G1377" s="80" t="b">
        <v>1</v>
      </c>
      <c r="H1377" s="80" t="b">
        <v>0</v>
      </c>
      <c r="I1377" s="80" t="b">
        <v>0</v>
      </c>
      <c r="J1377" s="80" t="b">
        <v>0</v>
      </c>
      <c r="K1377" s="80" t="b">
        <v>0</v>
      </c>
      <c r="L1377" s="80" t="b">
        <v>0</v>
      </c>
    </row>
    <row r="1378" spans="1:12" ht="15">
      <c r="A1378" s="81" t="s">
        <v>2359</v>
      </c>
      <c r="B1378" s="80" t="s">
        <v>2235</v>
      </c>
      <c r="C1378" s="80">
        <v>2</v>
      </c>
      <c r="D1378" s="104">
        <v>0.0012405082238900324</v>
      </c>
      <c r="E1378" s="104">
        <v>1.6020599913279623</v>
      </c>
      <c r="F1378" s="80" t="s">
        <v>2186</v>
      </c>
      <c r="G1378" s="80" t="b">
        <v>0</v>
      </c>
      <c r="H1378" s="80" t="b">
        <v>0</v>
      </c>
      <c r="I1378" s="80" t="b">
        <v>0</v>
      </c>
      <c r="J1378" s="80" t="b">
        <v>0</v>
      </c>
      <c r="K1378" s="80" t="b">
        <v>0</v>
      </c>
      <c r="L1378" s="80" t="b">
        <v>0</v>
      </c>
    </row>
    <row r="1379" spans="1:12" ht="15">
      <c r="A1379" s="81" t="s">
        <v>2235</v>
      </c>
      <c r="B1379" s="80" t="s">
        <v>2632</v>
      </c>
      <c r="C1379" s="80">
        <v>2</v>
      </c>
      <c r="D1379" s="104">
        <v>0.0012405082238900324</v>
      </c>
      <c r="E1379" s="104">
        <v>2.0791812460476247</v>
      </c>
      <c r="F1379" s="80" t="s">
        <v>2186</v>
      </c>
      <c r="G1379" s="80" t="b">
        <v>0</v>
      </c>
      <c r="H1379" s="80" t="b">
        <v>0</v>
      </c>
      <c r="I1379" s="80" t="b">
        <v>0</v>
      </c>
      <c r="J1379" s="80" t="b">
        <v>0</v>
      </c>
      <c r="K1379" s="80" t="b">
        <v>0</v>
      </c>
      <c r="L1379" s="80" t="b">
        <v>0</v>
      </c>
    </row>
    <row r="1380" spans="1:12" ht="15">
      <c r="A1380" s="81" t="s">
        <v>3345</v>
      </c>
      <c r="B1380" s="80" t="s">
        <v>2296</v>
      </c>
      <c r="C1380" s="80">
        <v>2</v>
      </c>
      <c r="D1380" s="104">
        <v>0.0012405082238900324</v>
      </c>
      <c r="E1380" s="104">
        <v>2.459392487759231</v>
      </c>
      <c r="F1380" s="80" t="s">
        <v>2186</v>
      </c>
      <c r="G1380" s="80" t="b">
        <v>0</v>
      </c>
      <c r="H1380" s="80" t="b">
        <v>0</v>
      </c>
      <c r="I1380" s="80" t="b">
        <v>0</v>
      </c>
      <c r="J1380" s="80" t="b">
        <v>0</v>
      </c>
      <c r="K1380" s="80" t="b">
        <v>0</v>
      </c>
      <c r="L1380" s="80" t="b">
        <v>0</v>
      </c>
    </row>
    <row r="1381" spans="1:12" ht="15">
      <c r="A1381" s="81" t="s">
        <v>2283</v>
      </c>
      <c r="B1381" s="80" t="s">
        <v>2412</v>
      </c>
      <c r="C1381" s="80">
        <v>2</v>
      </c>
      <c r="D1381" s="104">
        <v>0.0012405082238900324</v>
      </c>
      <c r="E1381" s="104">
        <v>2.255272505103306</v>
      </c>
      <c r="F1381" s="80" t="s">
        <v>2186</v>
      </c>
      <c r="G1381" s="80" t="b">
        <v>0</v>
      </c>
      <c r="H1381" s="80" t="b">
        <v>0</v>
      </c>
      <c r="I1381" s="80" t="b">
        <v>0</v>
      </c>
      <c r="J1381" s="80" t="b">
        <v>0</v>
      </c>
      <c r="K1381" s="80" t="b">
        <v>0</v>
      </c>
      <c r="L1381" s="80" t="b">
        <v>0</v>
      </c>
    </row>
    <row r="1382" spans="1:12" ht="15">
      <c r="A1382" s="81" t="s">
        <v>2365</v>
      </c>
      <c r="B1382" s="80" t="s">
        <v>2223</v>
      </c>
      <c r="C1382" s="80">
        <v>2</v>
      </c>
      <c r="D1382" s="104">
        <v>0.00165401096518671</v>
      </c>
      <c r="E1382" s="104">
        <v>2.8573324964312685</v>
      </c>
      <c r="F1382" s="80" t="s">
        <v>2186</v>
      </c>
      <c r="G1382" s="80" t="b">
        <v>0</v>
      </c>
      <c r="H1382" s="80" t="b">
        <v>0</v>
      </c>
      <c r="I1382" s="80" t="b">
        <v>0</v>
      </c>
      <c r="J1382" s="80" t="b">
        <v>0</v>
      </c>
      <c r="K1382" s="80" t="b">
        <v>0</v>
      </c>
      <c r="L1382" s="80" t="b">
        <v>0</v>
      </c>
    </row>
    <row r="1383" spans="1:12" ht="15">
      <c r="A1383" s="81" t="s">
        <v>2321</v>
      </c>
      <c r="B1383" s="80" t="s">
        <v>2371</v>
      </c>
      <c r="C1383" s="80">
        <v>2</v>
      </c>
      <c r="D1383" s="104">
        <v>0.0012405082238900324</v>
      </c>
      <c r="E1383" s="104">
        <v>2.0280287236002437</v>
      </c>
      <c r="F1383" s="80" t="s">
        <v>2186</v>
      </c>
      <c r="G1383" s="80" t="b">
        <v>0</v>
      </c>
      <c r="H1383" s="80" t="b">
        <v>0</v>
      </c>
      <c r="I1383" s="80" t="b">
        <v>0</v>
      </c>
      <c r="J1383" s="80" t="b">
        <v>0</v>
      </c>
      <c r="K1383" s="80" t="b">
        <v>0</v>
      </c>
      <c r="L1383" s="80" t="b">
        <v>0</v>
      </c>
    </row>
    <row r="1384" spans="1:12" ht="15">
      <c r="A1384" s="81" t="s">
        <v>2675</v>
      </c>
      <c r="B1384" s="80" t="s">
        <v>2903</v>
      </c>
      <c r="C1384" s="80">
        <v>2</v>
      </c>
      <c r="D1384" s="104">
        <v>0.00165401096518671</v>
      </c>
      <c r="E1384" s="104">
        <v>2.5563025007672873</v>
      </c>
      <c r="F1384" s="80" t="s">
        <v>2186</v>
      </c>
      <c r="G1384" s="80" t="b">
        <v>0</v>
      </c>
      <c r="H1384" s="80" t="b">
        <v>0</v>
      </c>
      <c r="I1384" s="80" t="b">
        <v>0</v>
      </c>
      <c r="J1384" s="80" t="b">
        <v>0</v>
      </c>
      <c r="K1384" s="80" t="b">
        <v>0</v>
      </c>
      <c r="L1384" s="80" t="b">
        <v>0</v>
      </c>
    </row>
    <row r="1385" spans="1:12" ht="15">
      <c r="A1385" s="81" t="s">
        <v>3039</v>
      </c>
      <c r="B1385" s="80" t="s">
        <v>3255</v>
      </c>
      <c r="C1385" s="80">
        <v>2</v>
      </c>
      <c r="D1385" s="104">
        <v>0.00165401096518671</v>
      </c>
      <c r="E1385" s="104">
        <v>2.8573324964312685</v>
      </c>
      <c r="F1385" s="80" t="s">
        <v>2186</v>
      </c>
      <c r="G1385" s="80" t="b">
        <v>0</v>
      </c>
      <c r="H1385" s="80" t="b">
        <v>0</v>
      </c>
      <c r="I1385" s="80" t="b">
        <v>0</v>
      </c>
      <c r="J1385" s="80" t="b">
        <v>0</v>
      </c>
      <c r="K1385" s="80" t="b">
        <v>0</v>
      </c>
      <c r="L1385" s="80" t="b">
        <v>0</v>
      </c>
    </row>
    <row r="1386" spans="1:12" ht="15">
      <c r="A1386" s="81" t="s">
        <v>2431</v>
      </c>
      <c r="B1386" s="80" t="s">
        <v>2439</v>
      </c>
      <c r="C1386" s="80">
        <v>2</v>
      </c>
      <c r="D1386" s="104">
        <v>0.0012405082238900324</v>
      </c>
      <c r="E1386" s="104">
        <v>2.2041199826559246</v>
      </c>
      <c r="F1386" s="80" t="s">
        <v>2186</v>
      </c>
      <c r="G1386" s="80" t="b">
        <v>0</v>
      </c>
      <c r="H1386" s="80" t="b">
        <v>0</v>
      </c>
      <c r="I1386" s="80" t="b">
        <v>0</v>
      </c>
      <c r="J1386" s="80" t="b">
        <v>0</v>
      </c>
      <c r="K1386" s="80" t="b">
        <v>0</v>
      </c>
      <c r="L1386" s="80" t="b">
        <v>0</v>
      </c>
    </row>
    <row r="1387" spans="1:12" ht="15">
      <c r="A1387" s="81" t="s">
        <v>2632</v>
      </c>
      <c r="B1387" s="80" t="s">
        <v>2489</v>
      </c>
      <c r="C1387" s="80">
        <v>2</v>
      </c>
      <c r="D1387" s="104">
        <v>0.0012405082238900324</v>
      </c>
      <c r="E1387" s="104">
        <v>2.8573324964312685</v>
      </c>
      <c r="F1387" s="80" t="s">
        <v>2186</v>
      </c>
      <c r="G1387" s="80" t="b">
        <v>0</v>
      </c>
      <c r="H1387" s="80" t="b">
        <v>0</v>
      </c>
      <c r="I1387" s="80" t="b">
        <v>0</v>
      </c>
      <c r="J1387" s="80" t="b">
        <v>0</v>
      </c>
      <c r="K1387" s="80" t="b">
        <v>0</v>
      </c>
      <c r="L1387" s="80" t="b">
        <v>0</v>
      </c>
    </row>
    <row r="1388" spans="1:12" ht="15">
      <c r="A1388" s="81" t="s">
        <v>2371</v>
      </c>
      <c r="B1388" s="80" t="s">
        <v>3000</v>
      </c>
      <c r="C1388" s="80">
        <v>2</v>
      </c>
      <c r="D1388" s="104">
        <v>0.0012405082238900324</v>
      </c>
      <c r="E1388" s="104">
        <v>2.681241237375587</v>
      </c>
      <c r="F1388" s="80" t="s">
        <v>2186</v>
      </c>
      <c r="G1388" s="80" t="b">
        <v>0</v>
      </c>
      <c r="H1388" s="80" t="b">
        <v>0</v>
      </c>
      <c r="I1388" s="80" t="b">
        <v>0</v>
      </c>
      <c r="J1388" s="80" t="b">
        <v>0</v>
      </c>
      <c r="K1388" s="80" t="b">
        <v>0</v>
      </c>
      <c r="L1388" s="80" t="b">
        <v>0</v>
      </c>
    </row>
    <row r="1389" spans="1:12" ht="15">
      <c r="A1389" s="81" t="s">
        <v>2283</v>
      </c>
      <c r="B1389" s="80" t="s">
        <v>2673</v>
      </c>
      <c r="C1389" s="80">
        <v>2</v>
      </c>
      <c r="D1389" s="104">
        <v>0.0012405082238900324</v>
      </c>
      <c r="E1389" s="104">
        <v>2.5563025007672873</v>
      </c>
      <c r="F1389" s="80" t="s">
        <v>2186</v>
      </c>
      <c r="G1389" s="80" t="b">
        <v>0</v>
      </c>
      <c r="H1389" s="80" t="b">
        <v>0</v>
      </c>
      <c r="I1389" s="80" t="b">
        <v>0</v>
      </c>
      <c r="J1389" s="80" t="b">
        <v>0</v>
      </c>
      <c r="K1389" s="80" t="b">
        <v>0</v>
      </c>
      <c r="L1389" s="80" t="b">
        <v>0</v>
      </c>
    </row>
    <row r="1390" spans="1:12" ht="15">
      <c r="A1390" s="81" t="s">
        <v>2304</v>
      </c>
      <c r="B1390" s="80" t="s">
        <v>2221</v>
      </c>
      <c r="C1390" s="80">
        <v>2</v>
      </c>
      <c r="D1390" s="104">
        <v>0.0012405082238900324</v>
      </c>
      <c r="E1390" s="104">
        <v>1.8573324964312685</v>
      </c>
      <c r="F1390" s="80" t="s">
        <v>2186</v>
      </c>
      <c r="G1390" s="80" t="b">
        <v>0</v>
      </c>
      <c r="H1390" s="80" t="b">
        <v>0</v>
      </c>
      <c r="I1390" s="80" t="b">
        <v>0</v>
      </c>
      <c r="J1390" s="80" t="b">
        <v>0</v>
      </c>
      <c r="K1390" s="80" t="b">
        <v>0</v>
      </c>
      <c r="L1390" s="80" t="b">
        <v>0</v>
      </c>
    </row>
    <row r="1391" spans="1:12" ht="15">
      <c r="A1391" s="81" t="s">
        <v>2346</v>
      </c>
      <c r="B1391" s="80" t="s">
        <v>2975</v>
      </c>
      <c r="C1391" s="80">
        <v>2</v>
      </c>
      <c r="D1391" s="104">
        <v>0.0012405082238900324</v>
      </c>
      <c r="E1391" s="104">
        <v>2.380211241711606</v>
      </c>
      <c r="F1391" s="80" t="s">
        <v>2186</v>
      </c>
      <c r="G1391" s="80" t="b">
        <v>0</v>
      </c>
      <c r="H1391" s="80" t="b">
        <v>0</v>
      </c>
      <c r="I1391" s="80" t="b">
        <v>0</v>
      </c>
      <c r="J1391" s="80" t="b">
        <v>0</v>
      </c>
      <c r="K1391" s="80" t="b">
        <v>0</v>
      </c>
      <c r="L1391" s="80" t="b">
        <v>0</v>
      </c>
    </row>
    <row r="1392" spans="1:12" ht="15">
      <c r="A1392" s="81" t="s">
        <v>2945</v>
      </c>
      <c r="B1392" s="80" t="s">
        <v>2660</v>
      </c>
      <c r="C1392" s="80">
        <v>2</v>
      </c>
      <c r="D1392" s="104">
        <v>0.00165401096518671</v>
      </c>
      <c r="E1392" s="104">
        <v>2.8573324964312685</v>
      </c>
      <c r="F1392" s="80" t="s">
        <v>2186</v>
      </c>
      <c r="G1392" s="80" t="b">
        <v>0</v>
      </c>
      <c r="H1392" s="80" t="b">
        <v>0</v>
      </c>
      <c r="I1392" s="80" t="b">
        <v>0</v>
      </c>
      <c r="J1392" s="80" t="b">
        <v>1</v>
      </c>
      <c r="K1392" s="80" t="b">
        <v>0</v>
      </c>
      <c r="L1392" s="80" t="b">
        <v>0</v>
      </c>
    </row>
    <row r="1393" spans="1:12" ht="15">
      <c r="A1393" s="81" t="s">
        <v>2305</v>
      </c>
      <c r="B1393" s="80" t="s">
        <v>2320</v>
      </c>
      <c r="C1393" s="80">
        <v>2</v>
      </c>
      <c r="D1393" s="104">
        <v>0.0012405082238900324</v>
      </c>
      <c r="E1393" s="104">
        <v>2.255272505103306</v>
      </c>
      <c r="F1393" s="80" t="s">
        <v>2186</v>
      </c>
      <c r="G1393" s="80" t="b">
        <v>0</v>
      </c>
      <c r="H1393" s="80" t="b">
        <v>0</v>
      </c>
      <c r="I1393" s="80" t="b">
        <v>0</v>
      </c>
      <c r="J1393" s="80" t="b">
        <v>0</v>
      </c>
      <c r="K1393" s="80" t="b">
        <v>0</v>
      </c>
      <c r="L1393" s="80" t="b">
        <v>0</v>
      </c>
    </row>
    <row r="1394" spans="1:12" ht="15">
      <c r="A1394" s="81" t="s">
        <v>3357</v>
      </c>
      <c r="B1394" s="80" t="s">
        <v>3130</v>
      </c>
      <c r="C1394" s="80">
        <v>2</v>
      </c>
      <c r="D1394" s="104">
        <v>0.0012405082238900324</v>
      </c>
      <c r="E1394" s="104">
        <v>2.8573324964312685</v>
      </c>
      <c r="F1394" s="80" t="s">
        <v>2186</v>
      </c>
      <c r="G1394" s="80" t="b">
        <v>0</v>
      </c>
      <c r="H1394" s="80" t="b">
        <v>0</v>
      </c>
      <c r="I1394" s="80" t="b">
        <v>0</v>
      </c>
      <c r="J1394" s="80" t="b">
        <v>0</v>
      </c>
      <c r="K1394" s="80" t="b">
        <v>0</v>
      </c>
      <c r="L1394" s="80" t="b">
        <v>0</v>
      </c>
    </row>
    <row r="1395" spans="1:12" ht="15">
      <c r="A1395" s="81" t="s">
        <v>2459</v>
      </c>
      <c r="B1395" s="80" t="s">
        <v>2321</v>
      </c>
      <c r="C1395" s="80">
        <v>2</v>
      </c>
      <c r="D1395" s="104">
        <v>0.0012405082238900324</v>
      </c>
      <c r="E1395" s="104">
        <v>2.0280287236002437</v>
      </c>
      <c r="F1395" s="80" t="s">
        <v>2186</v>
      </c>
      <c r="G1395" s="80" t="b">
        <v>0</v>
      </c>
      <c r="H1395" s="80" t="b">
        <v>0</v>
      </c>
      <c r="I1395" s="80" t="b">
        <v>0</v>
      </c>
      <c r="J1395" s="80" t="b">
        <v>0</v>
      </c>
      <c r="K1395" s="80" t="b">
        <v>0</v>
      </c>
      <c r="L1395" s="80" t="b">
        <v>0</v>
      </c>
    </row>
    <row r="1396" spans="1:12" ht="15">
      <c r="A1396" s="81" t="s">
        <v>2991</v>
      </c>
      <c r="B1396" s="80" t="s">
        <v>3253</v>
      </c>
      <c r="C1396" s="80">
        <v>2</v>
      </c>
      <c r="D1396" s="104">
        <v>0.0012405082238900324</v>
      </c>
      <c r="E1396" s="104">
        <v>2.8573324964312685</v>
      </c>
      <c r="F1396" s="80" t="s">
        <v>2186</v>
      </c>
      <c r="G1396" s="80" t="b">
        <v>0</v>
      </c>
      <c r="H1396" s="80" t="b">
        <v>0</v>
      </c>
      <c r="I1396" s="80" t="b">
        <v>0</v>
      </c>
      <c r="J1396" s="80" t="b">
        <v>0</v>
      </c>
      <c r="K1396" s="80" t="b">
        <v>0</v>
      </c>
      <c r="L1396" s="80" t="b">
        <v>0</v>
      </c>
    </row>
    <row r="1397" spans="1:12" ht="15">
      <c r="A1397" s="81" t="s">
        <v>2431</v>
      </c>
      <c r="B1397" s="80" t="s">
        <v>2359</v>
      </c>
      <c r="C1397" s="80">
        <v>2</v>
      </c>
      <c r="D1397" s="104">
        <v>0.0012405082238900324</v>
      </c>
      <c r="E1397" s="104">
        <v>1.9030899869919435</v>
      </c>
      <c r="F1397" s="80" t="s">
        <v>2186</v>
      </c>
      <c r="G1397" s="80" t="b">
        <v>0</v>
      </c>
      <c r="H1397" s="80" t="b">
        <v>0</v>
      </c>
      <c r="I1397" s="80" t="b">
        <v>0</v>
      </c>
      <c r="J1397" s="80" t="b">
        <v>0</v>
      </c>
      <c r="K1397" s="80" t="b">
        <v>0</v>
      </c>
      <c r="L1397" s="80" t="b">
        <v>0</v>
      </c>
    </row>
    <row r="1398" spans="1:12" ht="15">
      <c r="A1398" s="81" t="s">
        <v>3131</v>
      </c>
      <c r="B1398" s="80" t="s">
        <v>2237</v>
      </c>
      <c r="C1398" s="80">
        <v>2</v>
      </c>
      <c r="D1398" s="104">
        <v>0.0012405082238900324</v>
      </c>
      <c r="E1398" s="104">
        <v>2.0791812460476247</v>
      </c>
      <c r="F1398" s="80" t="s">
        <v>2186</v>
      </c>
      <c r="G1398" s="80" t="b">
        <v>0</v>
      </c>
      <c r="H1398" s="80" t="b">
        <v>0</v>
      </c>
      <c r="I1398" s="80" t="b">
        <v>0</v>
      </c>
      <c r="J1398" s="80" t="b">
        <v>0</v>
      </c>
      <c r="K1398" s="80" t="b">
        <v>0</v>
      </c>
      <c r="L1398" s="80" t="b">
        <v>0</v>
      </c>
    </row>
    <row r="1399" spans="1:12" ht="15">
      <c r="A1399" s="81" t="s">
        <v>2320</v>
      </c>
      <c r="B1399" s="80" t="s">
        <v>2346</v>
      </c>
      <c r="C1399" s="80">
        <v>2</v>
      </c>
      <c r="D1399" s="104">
        <v>0.0012405082238900324</v>
      </c>
      <c r="E1399" s="104">
        <v>1.7781512503836436</v>
      </c>
      <c r="F1399" s="80" t="s">
        <v>2186</v>
      </c>
      <c r="G1399" s="80" t="b">
        <v>0</v>
      </c>
      <c r="H1399" s="80" t="b">
        <v>0</v>
      </c>
      <c r="I1399" s="80" t="b">
        <v>0</v>
      </c>
      <c r="J1399" s="80" t="b">
        <v>0</v>
      </c>
      <c r="K1399" s="80" t="b">
        <v>0</v>
      </c>
      <c r="L1399" s="80" t="b">
        <v>0</v>
      </c>
    </row>
    <row r="1400" spans="1:12" ht="15">
      <c r="A1400" s="81" t="s">
        <v>2394</v>
      </c>
      <c r="B1400" s="80" t="s">
        <v>2239</v>
      </c>
      <c r="C1400" s="80">
        <v>2</v>
      </c>
      <c r="D1400" s="104">
        <v>0.0012405082238900324</v>
      </c>
      <c r="E1400" s="104">
        <v>1.806179973983887</v>
      </c>
      <c r="F1400" s="80" t="s">
        <v>2186</v>
      </c>
      <c r="G1400" s="80" t="b">
        <v>0</v>
      </c>
      <c r="H1400" s="80" t="b">
        <v>0</v>
      </c>
      <c r="I1400" s="80" t="b">
        <v>0</v>
      </c>
      <c r="J1400" s="80" t="b">
        <v>0</v>
      </c>
      <c r="K1400" s="80" t="b">
        <v>0</v>
      </c>
      <c r="L1400" s="80" t="b">
        <v>0</v>
      </c>
    </row>
    <row r="1401" spans="1:12" ht="15">
      <c r="A1401" s="81" t="s">
        <v>2646</v>
      </c>
      <c r="B1401" s="80" t="s">
        <v>2283</v>
      </c>
      <c r="C1401" s="80">
        <v>2</v>
      </c>
      <c r="D1401" s="104">
        <v>0.0012405082238900324</v>
      </c>
      <c r="E1401" s="104">
        <v>2.5563025007672873</v>
      </c>
      <c r="F1401" s="80" t="s">
        <v>2186</v>
      </c>
      <c r="G1401" s="80" t="b">
        <v>0</v>
      </c>
      <c r="H1401" s="80" t="b">
        <v>0</v>
      </c>
      <c r="I1401" s="80" t="b">
        <v>0</v>
      </c>
      <c r="J1401" s="80" t="b">
        <v>0</v>
      </c>
      <c r="K1401" s="80" t="b">
        <v>0</v>
      </c>
      <c r="L1401" s="80" t="b">
        <v>0</v>
      </c>
    </row>
    <row r="1402" spans="1:12" ht="15">
      <c r="A1402" s="81" t="s">
        <v>3021</v>
      </c>
      <c r="B1402" s="80" t="s">
        <v>2263</v>
      </c>
      <c r="C1402" s="80">
        <v>2</v>
      </c>
      <c r="D1402" s="104">
        <v>0.0012405082238900324</v>
      </c>
      <c r="E1402" s="104">
        <v>2.459392487759231</v>
      </c>
      <c r="F1402" s="80" t="s">
        <v>2186</v>
      </c>
      <c r="G1402" s="80" t="b">
        <v>0</v>
      </c>
      <c r="H1402" s="80" t="b">
        <v>0</v>
      </c>
      <c r="I1402" s="80" t="b">
        <v>0</v>
      </c>
      <c r="J1402" s="80" t="b">
        <v>0</v>
      </c>
      <c r="K1402" s="80" t="b">
        <v>0</v>
      </c>
      <c r="L1402" s="80" t="b">
        <v>0</v>
      </c>
    </row>
    <row r="1403" spans="1:12" ht="15">
      <c r="A1403" s="81" t="s">
        <v>2221</v>
      </c>
      <c r="B1403" s="80" t="s">
        <v>2225</v>
      </c>
      <c r="C1403" s="80">
        <v>2</v>
      </c>
      <c r="D1403" s="104">
        <v>0.0012405082238900324</v>
      </c>
      <c r="E1403" s="104">
        <v>1.6532125137753437</v>
      </c>
      <c r="F1403" s="80" t="s">
        <v>2186</v>
      </c>
      <c r="G1403" s="80" t="b">
        <v>0</v>
      </c>
      <c r="H1403" s="80" t="b">
        <v>0</v>
      </c>
      <c r="I1403" s="80" t="b">
        <v>0</v>
      </c>
      <c r="J1403" s="80" t="b">
        <v>0</v>
      </c>
      <c r="K1403" s="80" t="b">
        <v>0</v>
      </c>
      <c r="L1403" s="80" t="b">
        <v>0</v>
      </c>
    </row>
    <row r="1404" spans="1:12" ht="15">
      <c r="A1404" s="81" t="s">
        <v>2220</v>
      </c>
      <c r="B1404" s="80" t="s">
        <v>2273</v>
      </c>
      <c r="C1404" s="80">
        <v>2</v>
      </c>
      <c r="D1404" s="104">
        <v>0.0012405082238900324</v>
      </c>
      <c r="E1404" s="104">
        <v>1.9153244434089554</v>
      </c>
      <c r="F1404" s="80" t="s">
        <v>2186</v>
      </c>
      <c r="G1404" s="80" t="b">
        <v>0</v>
      </c>
      <c r="H1404" s="80" t="b">
        <v>0</v>
      </c>
      <c r="I1404" s="80" t="b">
        <v>0</v>
      </c>
      <c r="J1404" s="80" t="b">
        <v>1</v>
      </c>
      <c r="K1404" s="80" t="b">
        <v>0</v>
      </c>
      <c r="L1404" s="80" t="b">
        <v>0</v>
      </c>
    </row>
    <row r="1405" spans="1:12" ht="15">
      <c r="A1405" s="81" t="s">
        <v>2242</v>
      </c>
      <c r="B1405" s="80" t="s">
        <v>2442</v>
      </c>
      <c r="C1405" s="80">
        <v>2</v>
      </c>
      <c r="D1405" s="104">
        <v>0.0012405082238900324</v>
      </c>
      <c r="E1405" s="104">
        <v>2.0791812460476247</v>
      </c>
      <c r="F1405" s="80" t="s">
        <v>2186</v>
      </c>
      <c r="G1405" s="80" t="b">
        <v>0</v>
      </c>
      <c r="H1405" s="80" t="b">
        <v>0</v>
      </c>
      <c r="I1405" s="80" t="b">
        <v>0</v>
      </c>
      <c r="J1405" s="80" t="b">
        <v>1</v>
      </c>
      <c r="K1405" s="80" t="b">
        <v>0</v>
      </c>
      <c r="L1405" s="80" t="b">
        <v>0</v>
      </c>
    </row>
    <row r="1406" spans="1:12" ht="15">
      <c r="A1406" s="81" t="s">
        <v>2320</v>
      </c>
      <c r="B1406" s="80" t="s">
        <v>2668</v>
      </c>
      <c r="C1406" s="80">
        <v>2</v>
      </c>
      <c r="D1406" s="104">
        <v>0.0012405082238900324</v>
      </c>
      <c r="E1406" s="104">
        <v>2.255272505103306</v>
      </c>
      <c r="F1406" s="80" t="s">
        <v>2186</v>
      </c>
      <c r="G1406" s="80" t="b">
        <v>0</v>
      </c>
      <c r="H1406" s="80" t="b">
        <v>0</v>
      </c>
      <c r="I1406" s="80" t="b">
        <v>0</v>
      </c>
      <c r="J1406" s="80" t="b">
        <v>0</v>
      </c>
      <c r="K1406" s="80" t="b">
        <v>0</v>
      </c>
      <c r="L1406" s="80" t="b">
        <v>0</v>
      </c>
    </row>
    <row r="1407" spans="1:12" ht="15">
      <c r="A1407" s="81" t="s">
        <v>2252</v>
      </c>
      <c r="B1407" s="80" t="s">
        <v>2276</v>
      </c>
      <c r="C1407" s="80">
        <v>2</v>
      </c>
      <c r="D1407" s="104">
        <v>0.0012405082238900324</v>
      </c>
      <c r="E1407" s="104">
        <v>2.0280287236002437</v>
      </c>
      <c r="F1407" s="80" t="s">
        <v>2186</v>
      </c>
      <c r="G1407" s="80" t="b">
        <v>0</v>
      </c>
      <c r="H1407" s="80" t="b">
        <v>0</v>
      </c>
      <c r="I1407" s="80" t="b">
        <v>0</v>
      </c>
      <c r="J1407" s="80" t="b">
        <v>0</v>
      </c>
      <c r="K1407" s="80" t="b">
        <v>0</v>
      </c>
      <c r="L1407" s="80" t="b">
        <v>0</v>
      </c>
    </row>
    <row r="1408" spans="1:12" ht="15">
      <c r="A1408" s="81" t="s">
        <v>2235</v>
      </c>
      <c r="B1408" s="80" t="s">
        <v>2359</v>
      </c>
      <c r="C1408" s="80">
        <v>2</v>
      </c>
      <c r="D1408" s="104">
        <v>0.0012405082238900324</v>
      </c>
      <c r="E1408" s="104">
        <v>1.6020599913279623</v>
      </c>
      <c r="F1408" s="80" t="s">
        <v>2186</v>
      </c>
      <c r="G1408" s="80" t="b">
        <v>0</v>
      </c>
      <c r="H1408" s="80" t="b">
        <v>0</v>
      </c>
      <c r="I1408" s="80" t="b">
        <v>0</v>
      </c>
      <c r="J1408" s="80" t="b">
        <v>0</v>
      </c>
      <c r="K1408" s="80" t="b">
        <v>0</v>
      </c>
      <c r="L1408" s="80" t="b">
        <v>0</v>
      </c>
    </row>
    <row r="1409" spans="1:12" ht="15">
      <c r="A1409" s="81" t="s">
        <v>2700</v>
      </c>
      <c r="B1409" s="80" t="s">
        <v>2250</v>
      </c>
      <c r="C1409" s="80">
        <v>2</v>
      </c>
      <c r="D1409" s="104">
        <v>0.0012405082238900324</v>
      </c>
      <c r="E1409" s="104">
        <v>2.255272505103306</v>
      </c>
      <c r="F1409" s="80" t="s">
        <v>2186</v>
      </c>
      <c r="G1409" s="80" t="b">
        <v>0</v>
      </c>
      <c r="H1409" s="80" t="b">
        <v>0</v>
      </c>
      <c r="I1409" s="80" t="b">
        <v>0</v>
      </c>
      <c r="J1409" s="80" t="b">
        <v>0</v>
      </c>
      <c r="K1409" s="80" t="b">
        <v>0</v>
      </c>
      <c r="L1409" s="80" t="b">
        <v>0</v>
      </c>
    </row>
    <row r="1410" spans="1:12" ht="15">
      <c r="A1410" s="81" t="s">
        <v>3080</v>
      </c>
      <c r="B1410" s="80" t="s">
        <v>2429</v>
      </c>
      <c r="C1410" s="80">
        <v>2</v>
      </c>
      <c r="D1410" s="104">
        <v>0.0012405082238900324</v>
      </c>
      <c r="E1410" s="104">
        <v>2.380211241711606</v>
      </c>
      <c r="F1410" s="80" t="s">
        <v>2186</v>
      </c>
      <c r="G1410" s="80" t="b">
        <v>0</v>
      </c>
      <c r="H1410" s="80" t="b">
        <v>0</v>
      </c>
      <c r="I1410" s="80" t="b">
        <v>0</v>
      </c>
      <c r="J1410" s="80" t="b">
        <v>0</v>
      </c>
      <c r="K1410" s="80" t="b">
        <v>0</v>
      </c>
      <c r="L1410" s="80" t="b">
        <v>0</v>
      </c>
    </row>
    <row r="1411" spans="1:12" ht="15">
      <c r="A1411" s="81" t="s">
        <v>2314</v>
      </c>
      <c r="B1411" s="80" t="s">
        <v>2317</v>
      </c>
      <c r="C1411" s="80">
        <v>2</v>
      </c>
      <c r="D1411" s="104">
        <v>0.0012405082238900324</v>
      </c>
      <c r="E1411" s="104">
        <v>2.1583624920952498</v>
      </c>
      <c r="F1411" s="80" t="s">
        <v>2186</v>
      </c>
      <c r="G1411" s="80" t="b">
        <v>0</v>
      </c>
      <c r="H1411" s="80" t="b">
        <v>0</v>
      </c>
      <c r="I1411" s="80" t="b">
        <v>0</v>
      </c>
      <c r="J1411" s="80" t="b">
        <v>0</v>
      </c>
      <c r="K1411" s="80" t="b">
        <v>0</v>
      </c>
      <c r="L1411" s="80" t="b">
        <v>0</v>
      </c>
    </row>
    <row r="1412" spans="1:12" ht="15">
      <c r="A1412" s="81" t="s">
        <v>2270</v>
      </c>
      <c r="B1412" s="80" t="s">
        <v>2825</v>
      </c>
      <c r="C1412" s="80">
        <v>2</v>
      </c>
      <c r="D1412" s="104">
        <v>0.0012405082238900324</v>
      </c>
      <c r="E1412" s="104">
        <v>2.2041199826559246</v>
      </c>
      <c r="F1412" s="80" t="s">
        <v>2186</v>
      </c>
      <c r="G1412" s="80" t="b">
        <v>0</v>
      </c>
      <c r="H1412" s="80" t="b">
        <v>0</v>
      </c>
      <c r="I1412" s="80" t="b">
        <v>0</v>
      </c>
      <c r="J1412" s="80" t="b">
        <v>0</v>
      </c>
      <c r="K1412" s="80" t="b">
        <v>0</v>
      </c>
      <c r="L1412" s="80" t="b">
        <v>0</v>
      </c>
    </row>
    <row r="1413" spans="1:12" ht="15">
      <c r="A1413" s="81" t="s">
        <v>2461</v>
      </c>
      <c r="B1413" s="80" t="s">
        <v>2559</v>
      </c>
      <c r="C1413" s="80">
        <v>2</v>
      </c>
      <c r="D1413" s="104">
        <v>0.0012405082238900324</v>
      </c>
      <c r="E1413" s="104">
        <v>2.681241237375587</v>
      </c>
      <c r="F1413" s="80" t="s">
        <v>2186</v>
      </c>
      <c r="G1413" s="80" t="b">
        <v>0</v>
      </c>
      <c r="H1413" s="80" t="b">
        <v>0</v>
      </c>
      <c r="I1413" s="80" t="b">
        <v>0</v>
      </c>
      <c r="J1413" s="80" t="b">
        <v>0</v>
      </c>
      <c r="K1413" s="80" t="b">
        <v>0</v>
      </c>
      <c r="L1413" s="80" t="b">
        <v>0</v>
      </c>
    </row>
    <row r="1414" spans="1:12" ht="15">
      <c r="A1414" s="81" t="s">
        <v>2315</v>
      </c>
      <c r="B1414" s="80" t="s">
        <v>2302</v>
      </c>
      <c r="C1414" s="80">
        <v>2</v>
      </c>
      <c r="D1414" s="104">
        <v>0.0012405082238900324</v>
      </c>
      <c r="E1414" s="104">
        <v>2.681241237375587</v>
      </c>
      <c r="F1414" s="80" t="s">
        <v>2186</v>
      </c>
      <c r="G1414" s="80" t="b">
        <v>0</v>
      </c>
      <c r="H1414" s="80" t="b">
        <v>0</v>
      </c>
      <c r="I1414" s="80" t="b">
        <v>0</v>
      </c>
      <c r="J1414" s="80" t="b">
        <v>0</v>
      </c>
      <c r="K1414" s="80" t="b">
        <v>0</v>
      </c>
      <c r="L1414" s="80" t="b">
        <v>0</v>
      </c>
    </row>
    <row r="1415" spans="1:12" ht="15">
      <c r="A1415" s="81" t="s">
        <v>2381</v>
      </c>
      <c r="B1415" s="80" t="s">
        <v>2368</v>
      </c>
      <c r="C1415" s="80">
        <v>2</v>
      </c>
      <c r="D1415" s="104">
        <v>0.0012405082238900324</v>
      </c>
      <c r="E1415" s="104">
        <v>2.5563025007672873</v>
      </c>
      <c r="F1415" s="80" t="s">
        <v>2186</v>
      </c>
      <c r="G1415" s="80" t="b">
        <v>0</v>
      </c>
      <c r="H1415" s="80" t="b">
        <v>0</v>
      </c>
      <c r="I1415" s="80" t="b">
        <v>0</v>
      </c>
      <c r="J1415" s="80" t="b">
        <v>0</v>
      </c>
      <c r="K1415" s="80" t="b">
        <v>0</v>
      </c>
      <c r="L1415" s="80" t="b">
        <v>0</v>
      </c>
    </row>
    <row r="1416" spans="1:12" ht="15">
      <c r="A1416" s="81" t="s">
        <v>2943</v>
      </c>
      <c r="B1416" s="80" t="s">
        <v>2363</v>
      </c>
      <c r="C1416" s="80">
        <v>2</v>
      </c>
      <c r="D1416" s="104">
        <v>0.00165401096518671</v>
      </c>
      <c r="E1416" s="104">
        <v>2.459392487759231</v>
      </c>
      <c r="F1416" s="80" t="s">
        <v>2186</v>
      </c>
      <c r="G1416" s="80" t="b">
        <v>0</v>
      </c>
      <c r="H1416" s="80" t="b">
        <v>0</v>
      </c>
      <c r="I1416" s="80" t="b">
        <v>0</v>
      </c>
      <c r="J1416" s="80" t="b">
        <v>0</v>
      </c>
      <c r="K1416" s="80" t="b">
        <v>0</v>
      </c>
      <c r="L1416" s="80" t="b">
        <v>0</v>
      </c>
    </row>
    <row r="1417" spans="1:12" ht="15">
      <c r="A1417" s="81" t="s">
        <v>2270</v>
      </c>
      <c r="B1417" s="80" t="s">
        <v>2304</v>
      </c>
      <c r="C1417" s="80">
        <v>2</v>
      </c>
      <c r="D1417" s="104">
        <v>0.0012405082238900324</v>
      </c>
      <c r="E1417" s="104">
        <v>1.806179973983887</v>
      </c>
      <c r="F1417" s="80" t="s">
        <v>2186</v>
      </c>
      <c r="G1417" s="80" t="b">
        <v>0</v>
      </c>
      <c r="H1417" s="80" t="b">
        <v>0</v>
      </c>
      <c r="I1417" s="80" t="b">
        <v>0</v>
      </c>
      <c r="J1417" s="80" t="b">
        <v>0</v>
      </c>
      <c r="K1417" s="80" t="b">
        <v>0</v>
      </c>
      <c r="L1417" s="80" t="b">
        <v>0</v>
      </c>
    </row>
    <row r="1418" spans="1:12" ht="15">
      <c r="A1418" s="81" t="s">
        <v>2217</v>
      </c>
      <c r="B1418" s="80" t="s">
        <v>2381</v>
      </c>
      <c r="C1418" s="80">
        <v>2</v>
      </c>
      <c r="D1418" s="104">
        <v>0.0012405082238900324</v>
      </c>
      <c r="E1418" s="104">
        <v>1.7112044607530303</v>
      </c>
      <c r="F1418" s="80" t="s">
        <v>2186</v>
      </c>
      <c r="G1418" s="80" t="b">
        <v>0</v>
      </c>
      <c r="H1418" s="80" t="b">
        <v>0</v>
      </c>
      <c r="I1418" s="80" t="b">
        <v>0</v>
      </c>
      <c r="J1418" s="80" t="b">
        <v>0</v>
      </c>
      <c r="K1418" s="80" t="b">
        <v>0</v>
      </c>
      <c r="L1418" s="80" t="b">
        <v>0</v>
      </c>
    </row>
    <row r="1419" spans="1:12" ht="15">
      <c r="A1419" s="81" t="s">
        <v>2359</v>
      </c>
      <c r="B1419" s="80" t="s">
        <v>3021</v>
      </c>
      <c r="C1419" s="80">
        <v>2</v>
      </c>
      <c r="D1419" s="104">
        <v>0.0012405082238900324</v>
      </c>
      <c r="E1419" s="104">
        <v>2.380211241711606</v>
      </c>
      <c r="F1419" s="80" t="s">
        <v>2186</v>
      </c>
      <c r="G1419" s="80" t="b">
        <v>0</v>
      </c>
      <c r="H1419" s="80" t="b">
        <v>0</v>
      </c>
      <c r="I1419" s="80" t="b">
        <v>0</v>
      </c>
      <c r="J1419" s="80" t="b">
        <v>0</v>
      </c>
      <c r="K1419" s="80" t="b">
        <v>0</v>
      </c>
      <c r="L1419" s="80" t="b">
        <v>0</v>
      </c>
    </row>
    <row r="1420" spans="1:12" ht="15">
      <c r="A1420" s="81" t="s">
        <v>2375</v>
      </c>
      <c r="B1420" s="80" t="s">
        <v>2237</v>
      </c>
      <c r="C1420" s="80">
        <v>2</v>
      </c>
      <c r="D1420" s="104">
        <v>0.00165401096518671</v>
      </c>
      <c r="E1420" s="104">
        <v>1.9030899869919435</v>
      </c>
      <c r="F1420" s="80" t="s">
        <v>2186</v>
      </c>
      <c r="G1420" s="80" t="b">
        <v>0</v>
      </c>
      <c r="H1420" s="80" t="b">
        <v>0</v>
      </c>
      <c r="I1420" s="80" t="b">
        <v>0</v>
      </c>
      <c r="J1420" s="80" t="b">
        <v>0</v>
      </c>
      <c r="K1420" s="80" t="b">
        <v>0</v>
      </c>
      <c r="L1420" s="80" t="b">
        <v>0</v>
      </c>
    </row>
    <row r="1421" spans="1:12" ht="15">
      <c r="A1421" s="81" t="s">
        <v>2575</v>
      </c>
      <c r="B1421" s="80" t="s">
        <v>2346</v>
      </c>
      <c r="C1421" s="80">
        <v>2</v>
      </c>
      <c r="D1421" s="104">
        <v>0.0012405082238900324</v>
      </c>
      <c r="E1421" s="104">
        <v>2.380211241711606</v>
      </c>
      <c r="F1421" s="80" t="s">
        <v>2186</v>
      </c>
      <c r="G1421" s="80" t="b">
        <v>0</v>
      </c>
      <c r="H1421" s="80" t="b">
        <v>0</v>
      </c>
      <c r="I1421" s="80" t="b">
        <v>0</v>
      </c>
      <c r="J1421" s="80" t="b">
        <v>0</v>
      </c>
      <c r="K1421" s="80" t="b">
        <v>0</v>
      </c>
      <c r="L1421" s="80" t="b">
        <v>0</v>
      </c>
    </row>
    <row r="1422" spans="1:12" ht="15">
      <c r="A1422" s="81" t="s">
        <v>2970</v>
      </c>
      <c r="B1422" s="80" t="s">
        <v>2321</v>
      </c>
      <c r="C1422" s="80">
        <v>2</v>
      </c>
      <c r="D1422" s="104">
        <v>0.0012405082238900324</v>
      </c>
      <c r="E1422" s="104">
        <v>2.2041199826559246</v>
      </c>
      <c r="F1422" s="80" t="s">
        <v>2186</v>
      </c>
      <c r="G1422" s="80" t="b">
        <v>0</v>
      </c>
      <c r="H1422" s="80" t="b">
        <v>0</v>
      </c>
      <c r="I1422" s="80" t="b">
        <v>0</v>
      </c>
      <c r="J1422" s="80" t="b">
        <v>0</v>
      </c>
      <c r="K1422" s="80" t="b">
        <v>0</v>
      </c>
      <c r="L1422" s="80" t="b">
        <v>0</v>
      </c>
    </row>
    <row r="1423" spans="1:12" ht="15">
      <c r="A1423" s="81" t="s">
        <v>3027</v>
      </c>
      <c r="B1423" s="80" t="s">
        <v>2914</v>
      </c>
      <c r="C1423" s="80">
        <v>2</v>
      </c>
      <c r="D1423" s="104">
        <v>0.0012405082238900324</v>
      </c>
      <c r="E1423" s="104">
        <v>2.8573324964312685</v>
      </c>
      <c r="F1423" s="80" t="s">
        <v>2186</v>
      </c>
      <c r="G1423" s="80" t="b">
        <v>0</v>
      </c>
      <c r="H1423" s="80" t="b">
        <v>0</v>
      </c>
      <c r="I1423" s="80" t="b">
        <v>0</v>
      </c>
      <c r="J1423" s="80" t="b">
        <v>0</v>
      </c>
      <c r="K1423" s="80" t="b">
        <v>0</v>
      </c>
      <c r="L1423" s="80" t="b">
        <v>0</v>
      </c>
    </row>
    <row r="1424" spans="1:12" ht="15">
      <c r="A1424" s="81" t="s">
        <v>2764</v>
      </c>
      <c r="B1424" s="80" t="s">
        <v>2235</v>
      </c>
      <c r="C1424" s="80">
        <v>2</v>
      </c>
      <c r="D1424" s="104">
        <v>0.0012405082238900324</v>
      </c>
      <c r="E1424" s="104">
        <v>2.0791812460476247</v>
      </c>
      <c r="F1424" s="80" t="s">
        <v>2186</v>
      </c>
      <c r="G1424" s="80" t="b">
        <v>0</v>
      </c>
      <c r="H1424" s="80" t="b">
        <v>0</v>
      </c>
      <c r="I1424" s="80" t="b">
        <v>0</v>
      </c>
      <c r="J1424" s="80" t="b">
        <v>0</v>
      </c>
      <c r="K1424" s="80" t="b">
        <v>0</v>
      </c>
      <c r="L1424" s="80" t="b">
        <v>0</v>
      </c>
    </row>
    <row r="1425" spans="1:12" ht="15">
      <c r="A1425" s="81" t="s">
        <v>2253</v>
      </c>
      <c r="B1425" s="80" t="s">
        <v>2316</v>
      </c>
      <c r="C1425" s="80">
        <v>2</v>
      </c>
      <c r="D1425" s="104">
        <v>0.0012405082238900324</v>
      </c>
      <c r="E1425" s="104">
        <v>2.380211241711606</v>
      </c>
      <c r="F1425" s="80" t="s">
        <v>2186</v>
      </c>
      <c r="G1425" s="80" t="b">
        <v>0</v>
      </c>
      <c r="H1425" s="80" t="b">
        <v>0</v>
      </c>
      <c r="I1425" s="80" t="b">
        <v>0</v>
      </c>
      <c r="J1425" s="80" t="b">
        <v>0</v>
      </c>
      <c r="K1425" s="80" t="b">
        <v>0</v>
      </c>
      <c r="L1425" s="80" t="b">
        <v>0</v>
      </c>
    </row>
    <row r="1426" spans="1:12" ht="15">
      <c r="A1426" s="81" t="s">
        <v>3126</v>
      </c>
      <c r="B1426" s="80" t="s">
        <v>2276</v>
      </c>
      <c r="C1426" s="80">
        <v>2</v>
      </c>
      <c r="D1426" s="104">
        <v>0.0012405082238900324</v>
      </c>
      <c r="E1426" s="104">
        <v>2.2041199826559246</v>
      </c>
      <c r="F1426" s="80" t="s">
        <v>2186</v>
      </c>
      <c r="G1426" s="80" t="b">
        <v>0</v>
      </c>
      <c r="H1426" s="80" t="b">
        <v>0</v>
      </c>
      <c r="I1426" s="80" t="b">
        <v>0</v>
      </c>
      <c r="J1426" s="80" t="b">
        <v>0</v>
      </c>
      <c r="K1426" s="80" t="b">
        <v>0</v>
      </c>
      <c r="L1426" s="80" t="b">
        <v>0</v>
      </c>
    </row>
    <row r="1427" spans="1:12" ht="15">
      <c r="A1427" s="81" t="s">
        <v>2270</v>
      </c>
      <c r="B1427" s="80" t="s">
        <v>2879</v>
      </c>
      <c r="C1427" s="80">
        <v>2</v>
      </c>
      <c r="D1427" s="104">
        <v>0.0012405082238900324</v>
      </c>
      <c r="E1427" s="104">
        <v>2.2041199826559246</v>
      </c>
      <c r="F1427" s="80" t="s">
        <v>2186</v>
      </c>
      <c r="G1427" s="80" t="b">
        <v>0</v>
      </c>
      <c r="H1427" s="80" t="b">
        <v>0</v>
      </c>
      <c r="I1427" s="80" t="b">
        <v>0</v>
      </c>
      <c r="J1427" s="80" t="b">
        <v>0</v>
      </c>
      <c r="K1427" s="80" t="b">
        <v>0</v>
      </c>
      <c r="L1427" s="80" t="b">
        <v>0</v>
      </c>
    </row>
    <row r="1428" spans="1:12" ht="15">
      <c r="A1428" s="81" t="s">
        <v>2485</v>
      </c>
      <c r="B1428" s="80" t="s">
        <v>2551</v>
      </c>
      <c r="C1428" s="80">
        <v>2</v>
      </c>
      <c r="D1428" s="104">
        <v>0.0012405082238900324</v>
      </c>
      <c r="E1428" s="104">
        <v>2.8573324964312685</v>
      </c>
      <c r="F1428" s="80" t="s">
        <v>2186</v>
      </c>
      <c r="G1428" s="80" t="b">
        <v>0</v>
      </c>
      <c r="H1428" s="80" t="b">
        <v>0</v>
      </c>
      <c r="I1428" s="80" t="b">
        <v>0</v>
      </c>
      <c r="J1428" s="80" t="b">
        <v>0</v>
      </c>
      <c r="K1428" s="80" t="b">
        <v>0</v>
      </c>
      <c r="L1428" s="80" t="b">
        <v>0</v>
      </c>
    </row>
    <row r="1429" spans="1:12" ht="15">
      <c r="A1429" s="81" t="s">
        <v>2230</v>
      </c>
      <c r="B1429" s="80" t="s">
        <v>2304</v>
      </c>
      <c r="C1429" s="80">
        <v>2</v>
      </c>
      <c r="D1429" s="104">
        <v>0.0012405082238900324</v>
      </c>
      <c r="E1429" s="104">
        <v>1.806179973983887</v>
      </c>
      <c r="F1429" s="80" t="s">
        <v>2186</v>
      </c>
      <c r="G1429" s="80" t="b">
        <v>0</v>
      </c>
      <c r="H1429" s="80" t="b">
        <v>0</v>
      </c>
      <c r="I1429" s="80" t="b">
        <v>0</v>
      </c>
      <c r="J1429" s="80" t="b">
        <v>0</v>
      </c>
      <c r="K1429" s="80" t="b">
        <v>0</v>
      </c>
      <c r="L1429" s="80" t="b">
        <v>0</v>
      </c>
    </row>
    <row r="1430" spans="1:12" ht="15">
      <c r="A1430" s="81" t="s">
        <v>2294</v>
      </c>
      <c r="B1430" s="80" t="s">
        <v>2233</v>
      </c>
      <c r="C1430" s="80">
        <v>2</v>
      </c>
      <c r="D1430" s="104">
        <v>0.0012405082238900324</v>
      </c>
      <c r="E1430" s="104">
        <v>2.0791812460476247</v>
      </c>
      <c r="F1430" s="80" t="s">
        <v>2186</v>
      </c>
      <c r="G1430" s="80" t="b">
        <v>0</v>
      </c>
      <c r="H1430" s="80" t="b">
        <v>0</v>
      </c>
      <c r="I1430" s="80" t="b">
        <v>0</v>
      </c>
      <c r="J1430" s="80" t="b">
        <v>0</v>
      </c>
      <c r="K1430" s="80" t="b">
        <v>0</v>
      </c>
      <c r="L1430" s="80" t="b">
        <v>0</v>
      </c>
    </row>
    <row r="1431" spans="1:12" ht="15">
      <c r="A1431" s="81" t="s">
        <v>2263</v>
      </c>
      <c r="B1431" s="80" t="s">
        <v>3161</v>
      </c>
      <c r="C1431" s="80">
        <v>2</v>
      </c>
      <c r="D1431" s="104">
        <v>0.0012405082238900324</v>
      </c>
      <c r="E1431" s="104">
        <v>2.459392487759231</v>
      </c>
      <c r="F1431" s="80" t="s">
        <v>2186</v>
      </c>
      <c r="G1431" s="80" t="b">
        <v>0</v>
      </c>
      <c r="H1431" s="80" t="b">
        <v>0</v>
      </c>
      <c r="I1431" s="80" t="b">
        <v>0</v>
      </c>
      <c r="J1431" s="80" t="b">
        <v>1</v>
      </c>
      <c r="K1431" s="80" t="b">
        <v>0</v>
      </c>
      <c r="L1431" s="80" t="b">
        <v>0</v>
      </c>
    </row>
    <row r="1432" spans="1:12" ht="15">
      <c r="A1432" s="81" t="s">
        <v>3173</v>
      </c>
      <c r="B1432" s="80" t="s">
        <v>2459</v>
      </c>
      <c r="C1432" s="80">
        <v>2</v>
      </c>
      <c r="D1432" s="104">
        <v>0.0012405082238900324</v>
      </c>
      <c r="E1432" s="104">
        <v>2.681241237375587</v>
      </c>
      <c r="F1432" s="80" t="s">
        <v>2186</v>
      </c>
      <c r="G1432" s="80" t="b">
        <v>0</v>
      </c>
      <c r="H1432" s="80" t="b">
        <v>0</v>
      </c>
      <c r="I1432" s="80" t="b">
        <v>0</v>
      </c>
      <c r="J1432" s="80" t="b">
        <v>0</v>
      </c>
      <c r="K1432" s="80" t="b">
        <v>0</v>
      </c>
      <c r="L1432" s="80" t="b">
        <v>0</v>
      </c>
    </row>
    <row r="1433" spans="1:12" ht="15">
      <c r="A1433" s="81" t="s">
        <v>2661</v>
      </c>
      <c r="B1433" s="80" t="s">
        <v>2305</v>
      </c>
      <c r="C1433" s="80">
        <v>2</v>
      </c>
      <c r="D1433" s="104">
        <v>0.0012405082238900324</v>
      </c>
      <c r="E1433" s="104">
        <v>2.8573324964312685</v>
      </c>
      <c r="F1433" s="80" t="s">
        <v>2186</v>
      </c>
      <c r="G1433" s="80" t="b">
        <v>0</v>
      </c>
      <c r="H1433" s="80" t="b">
        <v>0</v>
      </c>
      <c r="I1433" s="80" t="b">
        <v>0</v>
      </c>
      <c r="J1433" s="80" t="b">
        <v>0</v>
      </c>
      <c r="K1433" s="80" t="b">
        <v>0</v>
      </c>
      <c r="L1433" s="80" t="b">
        <v>0</v>
      </c>
    </row>
    <row r="1434" spans="1:12" ht="15">
      <c r="A1434" s="81" t="s">
        <v>2230</v>
      </c>
      <c r="B1434" s="80" t="s">
        <v>2250</v>
      </c>
      <c r="C1434" s="80">
        <v>2</v>
      </c>
      <c r="D1434" s="104">
        <v>0.0012405082238900324</v>
      </c>
      <c r="E1434" s="104">
        <v>1.6020599913279623</v>
      </c>
      <c r="F1434" s="80" t="s">
        <v>2186</v>
      </c>
      <c r="G1434" s="80" t="b">
        <v>0</v>
      </c>
      <c r="H1434" s="80" t="b">
        <v>0</v>
      </c>
      <c r="I1434" s="80" t="b">
        <v>0</v>
      </c>
      <c r="J1434" s="80" t="b">
        <v>0</v>
      </c>
      <c r="K1434" s="80" t="b">
        <v>0</v>
      </c>
      <c r="L1434" s="80" t="b">
        <v>0</v>
      </c>
    </row>
    <row r="1435" spans="1:12" ht="15">
      <c r="A1435" s="81" t="s">
        <v>2232</v>
      </c>
      <c r="B1435" s="80" t="s">
        <v>2646</v>
      </c>
      <c r="C1435" s="80">
        <v>2</v>
      </c>
      <c r="D1435" s="104">
        <v>0.0012405082238900324</v>
      </c>
      <c r="E1435" s="104">
        <v>2.459392487759231</v>
      </c>
      <c r="F1435" s="80" t="s">
        <v>2186</v>
      </c>
      <c r="G1435" s="80" t="b">
        <v>0</v>
      </c>
      <c r="H1435" s="80" t="b">
        <v>0</v>
      </c>
      <c r="I1435" s="80" t="b">
        <v>0</v>
      </c>
      <c r="J1435" s="80" t="b">
        <v>0</v>
      </c>
      <c r="K1435" s="80" t="b">
        <v>0</v>
      </c>
      <c r="L1435" s="80" t="b">
        <v>0</v>
      </c>
    </row>
    <row r="1436" spans="1:12" ht="15">
      <c r="A1436" s="81" t="s">
        <v>3175</v>
      </c>
      <c r="B1436" s="80" t="s">
        <v>2394</v>
      </c>
      <c r="C1436" s="80">
        <v>2</v>
      </c>
      <c r="D1436" s="104">
        <v>0.0012405082238900324</v>
      </c>
      <c r="E1436" s="104">
        <v>2.459392487759231</v>
      </c>
      <c r="F1436" s="80" t="s">
        <v>2186</v>
      </c>
      <c r="G1436" s="80" t="b">
        <v>1</v>
      </c>
      <c r="H1436" s="80" t="b">
        <v>0</v>
      </c>
      <c r="I1436" s="80" t="b">
        <v>0</v>
      </c>
      <c r="J1436" s="80" t="b">
        <v>0</v>
      </c>
      <c r="K1436" s="80" t="b">
        <v>0</v>
      </c>
      <c r="L1436" s="80" t="b">
        <v>0</v>
      </c>
    </row>
    <row r="1437" spans="1:12" ht="15">
      <c r="A1437" s="81" t="s">
        <v>2242</v>
      </c>
      <c r="B1437" s="80" t="s">
        <v>2321</v>
      </c>
      <c r="C1437" s="80">
        <v>2</v>
      </c>
      <c r="D1437" s="104">
        <v>0.0012405082238900324</v>
      </c>
      <c r="E1437" s="104">
        <v>1.7269987279362624</v>
      </c>
      <c r="F1437" s="80" t="s">
        <v>2186</v>
      </c>
      <c r="G1437" s="80" t="b">
        <v>0</v>
      </c>
      <c r="H1437" s="80" t="b">
        <v>0</v>
      </c>
      <c r="I1437" s="80" t="b">
        <v>0</v>
      </c>
      <c r="J1437" s="80" t="b">
        <v>0</v>
      </c>
      <c r="K1437" s="80" t="b">
        <v>0</v>
      </c>
      <c r="L1437" s="80" t="b">
        <v>0</v>
      </c>
    </row>
    <row r="1438" spans="1:12" ht="15">
      <c r="A1438" s="81" t="s">
        <v>2269</v>
      </c>
      <c r="B1438" s="80" t="s">
        <v>2630</v>
      </c>
      <c r="C1438" s="80">
        <v>2</v>
      </c>
      <c r="D1438" s="104">
        <v>0.0012405082238900324</v>
      </c>
      <c r="E1438" s="104">
        <v>2.459392487759231</v>
      </c>
      <c r="F1438" s="80" t="s">
        <v>2186</v>
      </c>
      <c r="G1438" s="80" t="b">
        <v>0</v>
      </c>
      <c r="H1438" s="80" t="b">
        <v>0</v>
      </c>
      <c r="I1438" s="80" t="b">
        <v>0</v>
      </c>
      <c r="J1438" s="80" t="b">
        <v>0</v>
      </c>
      <c r="K1438" s="80" t="b">
        <v>0</v>
      </c>
      <c r="L1438" s="80" t="b">
        <v>0</v>
      </c>
    </row>
    <row r="1439" spans="1:12" ht="15">
      <c r="A1439" s="81" t="s">
        <v>2457</v>
      </c>
      <c r="B1439" s="80" t="s">
        <v>2235</v>
      </c>
      <c r="C1439" s="80">
        <v>2</v>
      </c>
      <c r="D1439" s="104">
        <v>0.0012405082238900324</v>
      </c>
      <c r="E1439" s="104">
        <v>1.7781512503836436</v>
      </c>
      <c r="F1439" s="80" t="s">
        <v>2186</v>
      </c>
      <c r="G1439" s="80" t="b">
        <v>0</v>
      </c>
      <c r="H1439" s="80" t="b">
        <v>0</v>
      </c>
      <c r="I1439" s="80" t="b">
        <v>0</v>
      </c>
      <c r="J1439" s="80" t="b">
        <v>0</v>
      </c>
      <c r="K1439" s="80" t="b">
        <v>0</v>
      </c>
      <c r="L1439" s="80" t="b">
        <v>0</v>
      </c>
    </row>
    <row r="1440" spans="1:12" ht="15">
      <c r="A1440" s="81" t="s">
        <v>2320</v>
      </c>
      <c r="B1440" s="80" t="s">
        <v>2283</v>
      </c>
      <c r="C1440" s="80">
        <v>2</v>
      </c>
      <c r="D1440" s="104">
        <v>0.0012405082238900324</v>
      </c>
      <c r="E1440" s="104">
        <v>1.954242509439325</v>
      </c>
      <c r="F1440" s="80" t="s">
        <v>2186</v>
      </c>
      <c r="G1440" s="80" t="b">
        <v>0</v>
      </c>
      <c r="H1440" s="80" t="b">
        <v>0</v>
      </c>
      <c r="I1440" s="80" t="b">
        <v>0</v>
      </c>
      <c r="J1440" s="80" t="b">
        <v>0</v>
      </c>
      <c r="K1440" s="80" t="b">
        <v>0</v>
      </c>
      <c r="L1440" s="80" t="b">
        <v>0</v>
      </c>
    </row>
    <row r="1441" spans="1:12" ht="15">
      <c r="A1441" s="81" t="s">
        <v>2431</v>
      </c>
      <c r="B1441" s="80" t="s">
        <v>2811</v>
      </c>
      <c r="C1441" s="80">
        <v>2</v>
      </c>
      <c r="D1441" s="104">
        <v>0.0012405082238900324</v>
      </c>
      <c r="E1441" s="104">
        <v>2.380211241711606</v>
      </c>
      <c r="F1441" s="80" t="s">
        <v>2186</v>
      </c>
      <c r="G1441" s="80" t="b">
        <v>0</v>
      </c>
      <c r="H1441" s="80" t="b">
        <v>0</v>
      </c>
      <c r="I1441" s="80" t="b">
        <v>0</v>
      </c>
      <c r="J1441" s="80" t="b">
        <v>0</v>
      </c>
      <c r="K1441" s="80" t="b">
        <v>0</v>
      </c>
      <c r="L1441" s="80" t="b">
        <v>0</v>
      </c>
    </row>
    <row r="1442" spans="1:12" ht="15">
      <c r="A1442" s="81" t="s">
        <v>2442</v>
      </c>
      <c r="B1442" s="80" t="s">
        <v>3173</v>
      </c>
      <c r="C1442" s="80">
        <v>2</v>
      </c>
      <c r="D1442" s="104">
        <v>0.0012405082238900324</v>
      </c>
      <c r="E1442" s="104">
        <v>2.5563025007672873</v>
      </c>
      <c r="F1442" s="80" t="s">
        <v>2186</v>
      </c>
      <c r="G1442" s="80" t="b">
        <v>1</v>
      </c>
      <c r="H1442" s="80" t="b">
        <v>0</v>
      </c>
      <c r="I1442" s="80" t="b">
        <v>0</v>
      </c>
      <c r="J1442" s="80" t="b">
        <v>0</v>
      </c>
      <c r="K1442" s="80" t="b">
        <v>0</v>
      </c>
      <c r="L1442" s="80" t="b">
        <v>0</v>
      </c>
    </row>
    <row r="1443" spans="1:12" ht="15">
      <c r="A1443" s="81" t="s">
        <v>2237</v>
      </c>
      <c r="B1443" s="80" t="s">
        <v>2218</v>
      </c>
      <c r="C1443" s="80">
        <v>2</v>
      </c>
      <c r="D1443" s="104">
        <v>0.00165401096518671</v>
      </c>
      <c r="E1443" s="104">
        <v>1.2041199826559248</v>
      </c>
      <c r="F1443" s="80" t="s">
        <v>2186</v>
      </c>
      <c r="G1443" s="80" t="b">
        <v>0</v>
      </c>
      <c r="H1443" s="80" t="b">
        <v>0</v>
      </c>
      <c r="I1443" s="80" t="b">
        <v>0</v>
      </c>
      <c r="J1443" s="80" t="b">
        <v>0</v>
      </c>
      <c r="K1443" s="80" t="b">
        <v>0</v>
      </c>
      <c r="L1443" s="80" t="b">
        <v>0</v>
      </c>
    </row>
    <row r="1444" spans="1:12" ht="15">
      <c r="A1444" s="81" t="s">
        <v>2811</v>
      </c>
      <c r="B1444" s="80" t="s">
        <v>2230</v>
      </c>
      <c r="C1444" s="80">
        <v>2</v>
      </c>
      <c r="D1444" s="104">
        <v>0.0012405082238900324</v>
      </c>
      <c r="E1444" s="104">
        <v>2.2041199826559246</v>
      </c>
      <c r="F1444" s="80" t="s">
        <v>2186</v>
      </c>
      <c r="G1444" s="80" t="b">
        <v>0</v>
      </c>
      <c r="H1444" s="80" t="b">
        <v>0</v>
      </c>
      <c r="I1444" s="80" t="b">
        <v>0</v>
      </c>
      <c r="J1444" s="80" t="b">
        <v>0</v>
      </c>
      <c r="K1444" s="80" t="b">
        <v>0</v>
      </c>
      <c r="L1444" s="80" t="b">
        <v>0</v>
      </c>
    </row>
    <row r="1445" spans="1:12" ht="15">
      <c r="A1445" s="81" t="s">
        <v>2491</v>
      </c>
      <c r="B1445" s="80" t="s">
        <v>2970</v>
      </c>
      <c r="C1445" s="80">
        <v>2</v>
      </c>
      <c r="D1445" s="104">
        <v>0.0012405082238900324</v>
      </c>
      <c r="E1445" s="104">
        <v>2.8573324964312685</v>
      </c>
      <c r="F1445" s="80" t="s">
        <v>2186</v>
      </c>
      <c r="G1445" s="80" t="b">
        <v>0</v>
      </c>
      <c r="H1445" s="80" t="b">
        <v>0</v>
      </c>
      <c r="I1445" s="80" t="b">
        <v>0</v>
      </c>
      <c r="J1445" s="80" t="b">
        <v>0</v>
      </c>
      <c r="K1445" s="80" t="b">
        <v>0</v>
      </c>
      <c r="L1445" s="80" t="b">
        <v>0</v>
      </c>
    </row>
    <row r="1446" spans="1:12" ht="15">
      <c r="A1446" s="81" t="s">
        <v>2596</v>
      </c>
      <c r="B1446" s="80" t="s">
        <v>2397</v>
      </c>
      <c r="C1446" s="80">
        <v>2</v>
      </c>
      <c r="D1446" s="104">
        <v>0.00165401096518671</v>
      </c>
      <c r="E1446" s="104">
        <v>2.459392487759231</v>
      </c>
      <c r="F1446" s="80" t="s">
        <v>2186</v>
      </c>
      <c r="G1446" s="80" t="b">
        <v>0</v>
      </c>
      <c r="H1446" s="80" t="b">
        <v>0</v>
      </c>
      <c r="I1446" s="80" t="b">
        <v>0</v>
      </c>
      <c r="J1446" s="80" t="b">
        <v>0</v>
      </c>
      <c r="K1446" s="80" t="b">
        <v>0</v>
      </c>
      <c r="L1446" s="80" t="b">
        <v>0</v>
      </c>
    </row>
    <row r="1447" spans="1:12" ht="15">
      <c r="A1447" s="81" t="s">
        <v>2281</v>
      </c>
      <c r="B1447" s="80" t="s">
        <v>2261</v>
      </c>
      <c r="C1447" s="80">
        <v>2</v>
      </c>
      <c r="D1447" s="104">
        <v>0.0012405082238900324</v>
      </c>
      <c r="E1447" s="104">
        <v>2.1583624920952498</v>
      </c>
      <c r="F1447" s="80" t="s">
        <v>2186</v>
      </c>
      <c r="G1447" s="80" t="b">
        <v>0</v>
      </c>
      <c r="H1447" s="80" t="b">
        <v>0</v>
      </c>
      <c r="I1447" s="80" t="b">
        <v>0</v>
      </c>
      <c r="J1447" s="80" t="b">
        <v>1</v>
      </c>
      <c r="K1447" s="80" t="b">
        <v>0</v>
      </c>
      <c r="L1447" s="80" t="b">
        <v>0</v>
      </c>
    </row>
    <row r="1448" spans="1:12" ht="15">
      <c r="A1448" s="81" t="s">
        <v>2412</v>
      </c>
      <c r="B1448" s="80" t="s">
        <v>2700</v>
      </c>
      <c r="C1448" s="80">
        <v>2</v>
      </c>
      <c r="D1448" s="104">
        <v>0.0012405082238900324</v>
      </c>
      <c r="E1448" s="104">
        <v>2.5563025007672873</v>
      </c>
      <c r="F1448" s="80" t="s">
        <v>2186</v>
      </c>
      <c r="G1448" s="80" t="b">
        <v>0</v>
      </c>
      <c r="H1448" s="80" t="b">
        <v>0</v>
      </c>
      <c r="I1448" s="80" t="b">
        <v>0</v>
      </c>
      <c r="J1448" s="80" t="b">
        <v>0</v>
      </c>
      <c r="K1448" s="80" t="b">
        <v>0</v>
      </c>
      <c r="L1448" s="80" t="b">
        <v>0</v>
      </c>
    </row>
    <row r="1449" spans="1:12" ht="15">
      <c r="A1449" s="81" t="s">
        <v>2601</v>
      </c>
      <c r="B1449" s="80" t="s">
        <v>2876</v>
      </c>
      <c r="C1449" s="80">
        <v>2</v>
      </c>
      <c r="D1449" s="104">
        <v>0.0012405082238900324</v>
      </c>
      <c r="E1449" s="104">
        <v>2.8573324964312685</v>
      </c>
      <c r="F1449" s="80" t="s">
        <v>2186</v>
      </c>
      <c r="G1449" s="80" t="b">
        <v>0</v>
      </c>
      <c r="H1449" s="80" t="b">
        <v>0</v>
      </c>
      <c r="I1449" s="80" t="b">
        <v>0</v>
      </c>
      <c r="J1449" s="80" t="b">
        <v>0</v>
      </c>
      <c r="K1449" s="80" t="b">
        <v>0</v>
      </c>
      <c r="L1449" s="80" t="b">
        <v>0</v>
      </c>
    </row>
    <row r="1450" spans="1:12" ht="15">
      <c r="A1450" s="81" t="s">
        <v>2281</v>
      </c>
      <c r="B1450" s="80" t="s">
        <v>3131</v>
      </c>
      <c r="C1450" s="80">
        <v>2</v>
      </c>
      <c r="D1450" s="104">
        <v>0.0012405082238900324</v>
      </c>
      <c r="E1450" s="104">
        <v>2.459392487759231</v>
      </c>
      <c r="F1450" s="80" t="s">
        <v>2186</v>
      </c>
      <c r="G1450" s="80" t="b">
        <v>0</v>
      </c>
      <c r="H1450" s="80" t="b">
        <v>0</v>
      </c>
      <c r="I1450" s="80" t="b">
        <v>0</v>
      </c>
      <c r="J1450" s="80" t="b">
        <v>0</v>
      </c>
      <c r="K1450" s="80" t="b">
        <v>0</v>
      </c>
      <c r="L1450" s="80" t="b">
        <v>0</v>
      </c>
    </row>
    <row r="1451" spans="1:12" ht="15">
      <c r="A1451" s="81" t="s">
        <v>2630</v>
      </c>
      <c r="B1451" s="80" t="s">
        <v>2281</v>
      </c>
      <c r="C1451" s="80">
        <v>2</v>
      </c>
      <c r="D1451" s="104">
        <v>0.0012405082238900324</v>
      </c>
      <c r="E1451" s="104">
        <v>2.459392487759231</v>
      </c>
      <c r="F1451" s="80" t="s">
        <v>2186</v>
      </c>
      <c r="G1451" s="80" t="b">
        <v>0</v>
      </c>
      <c r="H1451" s="80" t="b">
        <v>0</v>
      </c>
      <c r="I1451" s="80" t="b">
        <v>0</v>
      </c>
      <c r="J1451" s="80" t="b">
        <v>0</v>
      </c>
      <c r="K1451" s="80" t="b">
        <v>0</v>
      </c>
      <c r="L1451" s="80" t="b">
        <v>0</v>
      </c>
    </row>
    <row r="1452" spans="1:12" ht="15">
      <c r="A1452" s="81" t="s">
        <v>3161</v>
      </c>
      <c r="B1452" s="80" t="s">
        <v>3345</v>
      </c>
      <c r="C1452" s="80">
        <v>2</v>
      </c>
      <c r="D1452" s="104">
        <v>0.0012405082238900324</v>
      </c>
      <c r="E1452" s="104">
        <v>2.8573324964312685</v>
      </c>
      <c r="F1452" s="80" t="s">
        <v>2186</v>
      </c>
      <c r="G1452" s="80" t="b">
        <v>1</v>
      </c>
      <c r="H1452" s="80" t="b">
        <v>0</v>
      </c>
      <c r="I1452" s="80" t="b">
        <v>0</v>
      </c>
      <c r="J1452" s="80" t="b">
        <v>0</v>
      </c>
      <c r="K1452" s="80" t="b">
        <v>0</v>
      </c>
      <c r="L1452" s="80" t="b">
        <v>0</v>
      </c>
    </row>
    <row r="1453" spans="1:12" ht="15">
      <c r="A1453" s="81" t="s">
        <v>2232</v>
      </c>
      <c r="B1453" s="80" t="s">
        <v>2412</v>
      </c>
      <c r="C1453" s="80">
        <v>2</v>
      </c>
      <c r="D1453" s="104">
        <v>0.0012405082238900324</v>
      </c>
      <c r="E1453" s="104">
        <v>2.1583624920952498</v>
      </c>
      <c r="F1453" s="80" t="s">
        <v>2186</v>
      </c>
      <c r="G1453" s="80" t="b">
        <v>0</v>
      </c>
      <c r="H1453" s="80" t="b">
        <v>0</v>
      </c>
      <c r="I1453" s="80" t="b">
        <v>0</v>
      </c>
      <c r="J1453" s="80" t="b">
        <v>0</v>
      </c>
      <c r="K1453" s="80" t="b">
        <v>0</v>
      </c>
      <c r="L1453" s="80" t="b">
        <v>0</v>
      </c>
    </row>
    <row r="1454" spans="1:12" ht="15">
      <c r="A1454" s="81" t="s">
        <v>2216</v>
      </c>
      <c r="B1454" s="80" t="s">
        <v>2269</v>
      </c>
      <c r="C1454" s="80">
        <v>2</v>
      </c>
      <c r="D1454" s="104">
        <v>0.0012405082238900324</v>
      </c>
      <c r="E1454" s="104">
        <v>1.614294447744974</v>
      </c>
      <c r="F1454" s="80" t="s">
        <v>2186</v>
      </c>
      <c r="G1454" s="80" t="b">
        <v>0</v>
      </c>
      <c r="H1454" s="80" t="b">
        <v>0</v>
      </c>
      <c r="I1454" s="80" t="b">
        <v>0</v>
      </c>
      <c r="J1454" s="80" t="b">
        <v>0</v>
      </c>
      <c r="K1454" s="80" t="b">
        <v>0</v>
      </c>
      <c r="L1454" s="80" t="b">
        <v>0</v>
      </c>
    </row>
    <row r="1455" spans="1:12" ht="15">
      <c r="A1455" s="81" t="s">
        <v>2214</v>
      </c>
      <c r="B1455" s="80" t="s">
        <v>2292</v>
      </c>
      <c r="C1455" s="80">
        <v>2</v>
      </c>
      <c r="D1455" s="104">
        <v>0.0012405082238900324</v>
      </c>
      <c r="E1455" s="104">
        <v>1.8361431973613305</v>
      </c>
      <c r="F1455" s="80" t="s">
        <v>2186</v>
      </c>
      <c r="G1455" s="80" t="b">
        <v>0</v>
      </c>
      <c r="H1455" s="80" t="b">
        <v>0</v>
      </c>
      <c r="I1455" s="80" t="b">
        <v>0</v>
      </c>
      <c r="J1455" s="80" t="b">
        <v>0</v>
      </c>
      <c r="K1455" s="80" t="b">
        <v>0</v>
      </c>
      <c r="L1455" s="80" t="b">
        <v>0</v>
      </c>
    </row>
    <row r="1456" spans="1:12" ht="15">
      <c r="A1456" s="81" t="s">
        <v>2682</v>
      </c>
      <c r="B1456" s="80" t="s">
        <v>2425</v>
      </c>
      <c r="C1456" s="80">
        <v>2</v>
      </c>
      <c r="D1456" s="104">
        <v>0.0012405082238900324</v>
      </c>
      <c r="E1456" s="104">
        <v>2.681241237375587</v>
      </c>
      <c r="F1456" s="80" t="s">
        <v>2186</v>
      </c>
      <c r="G1456" s="80" t="b">
        <v>0</v>
      </c>
      <c r="H1456" s="80" t="b">
        <v>0</v>
      </c>
      <c r="I1456" s="80" t="b">
        <v>0</v>
      </c>
      <c r="J1456" s="80" t="b">
        <v>0</v>
      </c>
      <c r="K1456" s="80" t="b">
        <v>0</v>
      </c>
      <c r="L1456" s="80" t="b">
        <v>0</v>
      </c>
    </row>
    <row r="1457" spans="1:12" ht="15">
      <c r="A1457" s="81" t="s">
        <v>2822</v>
      </c>
      <c r="B1457" s="80" t="s">
        <v>2284</v>
      </c>
      <c r="C1457" s="80">
        <v>2</v>
      </c>
      <c r="D1457" s="104">
        <v>0.0012405082238900324</v>
      </c>
      <c r="E1457" s="104">
        <v>2.5563025007672873</v>
      </c>
      <c r="F1457" s="80" t="s">
        <v>2186</v>
      </c>
      <c r="G1457" s="80" t="b">
        <v>0</v>
      </c>
      <c r="H1457" s="80" t="b">
        <v>0</v>
      </c>
      <c r="I1457" s="80" t="b">
        <v>0</v>
      </c>
      <c r="J1457" s="80" t="b">
        <v>0</v>
      </c>
      <c r="K1457" s="80" t="b">
        <v>0</v>
      </c>
      <c r="L1457" s="80" t="b">
        <v>0</v>
      </c>
    </row>
    <row r="1458" spans="1:12" ht="15">
      <c r="A1458" s="81" t="s">
        <v>2608</v>
      </c>
      <c r="B1458" s="80" t="s">
        <v>2320</v>
      </c>
      <c r="C1458" s="80">
        <v>2</v>
      </c>
      <c r="D1458" s="104">
        <v>0.0012405082238900324</v>
      </c>
      <c r="E1458" s="104">
        <v>2.255272505103306</v>
      </c>
      <c r="F1458" s="80" t="s">
        <v>2186</v>
      </c>
      <c r="G1458" s="80" t="b">
        <v>0</v>
      </c>
      <c r="H1458" s="80" t="b">
        <v>0</v>
      </c>
      <c r="I1458" s="80" t="b">
        <v>0</v>
      </c>
      <c r="J1458" s="80" t="b">
        <v>0</v>
      </c>
      <c r="K1458" s="80" t="b">
        <v>0</v>
      </c>
      <c r="L1458" s="80" t="b">
        <v>0</v>
      </c>
    </row>
    <row r="1459" spans="1:12" ht="15">
      <c r="A1459" s="81" t="s">
        <v>2869</v>
      </c>
      <c r="B1459" s="80" t="s">
        <v>2284</v>
      </c>
      <c r="C1459" s="80">
        <v>2</v>
      </c>
      <c r="D1459" s="104">
        <v>0.0012405082238900324</v>
      </c>
      <c r="E1459" s="104">
        <v>2.5563025007672873</v>
      </c>
      <c r="F1459" s="80" t="s">
        <v>2186</v>
      </c>
      <c r="G1459" s="80" t="b">
        <v>0</v>
      </c>
      <c r="H1459" s="80" t="b">
        <v>0</v>
      </c>
      <c r="I1459" s="80" t="b">
        <v>0</v>
      </c>
      <c r="J1459" s="80" t="b">
        <v>0</v>
      </c>
      <c r="K1459" s="80" t="b">
        <v>0</v>
      </c>
      <c r="L1459" s="80" t="b">
        <v>0</v>
      </c>
    </row>
    <row r="1460" spans="1:12" ht="15">
      <c r="A1460" s="81" t="s">
        <v>2579</v>
      </c>
      <c r="B1460" s="80" t="s">
        <v>3357</v>
      </c>
      <c r="C1460" s="80">
        <v>2</v>
      </c>
      <c r="D1460" s="104">
        <v>0.0012405082238900324</v>
      </c>
      <c r="E1460" s="104">
        <v>2.8573324964312685</v>
      </c>
      <c r="F1460" s="80" t="s">
        <v>2186</v>
      </c>
      <c r="G1460" s="80" t="b">
        <v>0</v>
      </c>
      <c r="H1460" s="80" t="b">
        <v>0</v>
      </c>
      <c r="I1460" s="80" t="b">
        <v>0</v>
      </c>
      <c r="J1460" s="80" t="b">
        <v>0</v>
      </c>
      <c r="K1460" s="80" t="b">
        <v>0</v>
      </c>
      <c r="L1460" s="80" t="b">
        <v>0</v>
      </c>
    </row>
    <row r="1461" spans="1:12" ht="15">
      <c r="A1461" s="81" t="s">
        <v>2296</v>
      </c>
      <c r="B1461" s="80" t="s">
        <v>2491</v>
      </c>
      <c r="C1461" s="80">
        <v>2</v>
      </c>
      <c r="D1461" s="104">
        <v>0.0012405082238900324</v>
      </c>
      <c r="E1461" s="104">
        <v>2.459392487759231</v>
      </c>
      <c r="F1461" s="80" t="s">
        <v>2186</v>
      </c>
      <c r="G1461" s="80" t="b">
        <v>0</v>
      </c>
      <c r="H1461" s="80" t="b">
        <v>0</v>
      </c>
      <c r="I1461" s="80" t="b">
        <v>0</v>
      </c>
      <c r="J1461" s="80" t="b">
        <v>0</v>
      </c>
      <c r="K1461" s="80" t="b">
        <v>0</v>
      </c>
      <c r="L1461" s="80" t="b">
        <v>0</v>
      </c>
    </row>
    <row r="1462" spans="1:12" ht="15">
      <c r="A1462" s="81" t="s">
        <v>2668</v>
      </c>
      <c r="B1462" s="80" t="s">
        <v>2235</v>
      </c>
      <c r="C1462" s="80">
        <v>2</v>
      </c>
      <c r="D1462" s="104">
        <v>0.0012405082238900324</v>
      </c>
      <c r="E1462" s="104">
        <v>2.0791812460476247</v>
      </c>
      <c r="F1462" s="80" t="s">
        <v>2186</v>
      </c>
      <c r="G1462" s="80" t="b">
        <v>0</v>
      </c>
      <c r="H1462" s="80" t="b">
        <v>0</v>
      </c>
      <c r="I1462" s="80" t="b">
        <v>0</v>
      </c>
      <c r="J1462" s="80" t="b">
        <v>0</v>
      </c>
      <c r="K1462" s="80" t="b">
        <v>0</v>
      </c>
      <c r="L1462" s="80" t="b">
        <v>0</v>
      </c>
    </row>
    <row r="1463" spans="1:12" ht="15">
      <c r="A1463" s="81" t="s">
        <v>2237</v>
      </c>
      <c r="B1463" s="80" t="s">
        <v>2579</v>
      </c>
      <c r="C1463" s="80">
        <v>2</v>
      </c>
      <c r="D1463" s="104">
        <v>0.0012405082238900324</v>
      </c>
      <c r="E1463" s="104">
        <v>2.0791812460476247</v>
      </c>
      <c r="F1463" s="80" t="s">
        <v>2186</v>
      </c>
      <c r="G1463" s="80" t="b">
        <v>0</v>
      </c>
      <c r="H1463" s="80" t="b">
        <v>0</v>
      </c>
      <c r="I1463" s="80" t="b">
        <v>0</v>
      </c>
      <c r="J1463" s="80" t="b">
        <v>0</v>
      </c>
      <c r="K1463" s="80" t="b">
        <v>0</v>
      </c>
      <c r="L1463" s="80" t="b">
        <v>0</v>
      </c>
    </row>
    <row r="1464" spans="1:12" ht="15">
      <c r="A1464" s="81" t="s">
        <v>2217</v>
      </c>
      <c r="B1464" s="80" t="s">
        <v>2549</v>
      </c>
      <c r="C1464" s="80">
        <v>2</v>
      </c>
      <c r="D1464" s="104">
        <v>0.0012405082238900324</v>
      </c>
      <c r="E1464" s="104">
        <v>2.0122344564170116</v>
      </c>
      <c r="F1464" s="80" t="s">
        <v>2186</v>
      </c>
      <c r="G1464" s="80" t="b">
        <v>0</v>
      </c>
      <c r="H1464" s="80" t="b">
        <v>0</v>
      </c>
      <c r="I1464" s="80" t="b">
        <v>0</v>
      </c>
      <c r="J1464" s="80" t="b">
        <v>1</v>
      </c>
      <c r="K1464" s="80" t="b">
        <v>0</v>
      </c>
      <c r="L1464" s="80" t="b">
        <v>0</v>
      </c>
    </row>
    <row r="1465" spans="1:12" ht="15">
      <c r="A1465" s="81" t="s">
        <v>2368</v>
      </c>
      <c r="B1465" s="80" t="s">
        <v>2271</v>
      </c>
      <c r="C1465" s="80">
        <v>2</v>
      </c>
      <c r="D1465" s="104">
        <v>0.0012405082238900324</v>
      </c>
      <c r="E1465" s="104">
        <v>2.459392487759231</v>
      </c>
      <c r="F1465" s="80" t="s">
        <v>2186</v>
      </c>
      <c r="G1465" s="80" t="b">
        <v>0</v>
      </c>
      <c r="H1465" s="80" t="b">
        <v>0</v>
      </c>
      <c r="I1465" s="80" t="b">
        <v>0</v>
      </c>
      <c r="J1465" s="80" t="b">
        <v>0</v>
      </c>
      <c r="K1465" s="80" t="b">
        <v>0</v>
      </c>
      <c r="L1465" s="80" t="b">
        <v>0</v>
      </c>
    </row>
    <row r="1466" spans="1:12" ht="15">
      <c r="A1466" s="81" t="s">
        <v>2241</v>
      </c>
      <c r="B1466" s="80" t="s">
        <v>2395</v>
      </c>
      <c r="C1466" s="80">
        <v>7</v>
      </c>
      <c r="D1466" s="104">
        <v>0.005830480746026749</v>
      </c>
      <c r="E1466" s="104">
        <v>2.1451964061141817</v>
      </c>
      <c r="F1466" s="80" t="s">
        <v>2187</v>
      </c>
      <c r="G1466" s="80" t="b">
        <v>0</v>
      </c>
      <c r="H1466" s="80" t="b">
        <v>0</v>
      </c>
      <c r="I1466" s="80" t="b">
        <v>0</v>
      </c>
      <c r="J1466" s="80" t="b">
        <v>0</v>
      </c>
      <c r="K1466" s="80" t="b">
        <v>0</v>
      </c>
      <c r="L1466" s="80" t="b">
        <v>0</v>
      </c>
    </row>
    <row r="1467" spans="1:12" ht="15">
      <c r="A1467" s="81" t="s">
        <v>2416</v>
      </c>
      <c r="B1467" s="80" t="s">
        <v>2418</v>
      </c>
      <c r="C1467" s="80">
        <v>7</v>
      </c>
      <c r="D1467" s="104">
        <v>0.005830480746026749</v>
      </c>
      <c r="E1467" s="104">
        <v>2.3000983660999252</v>
      </c>
      <c r="F1467" s="80" t="s">
        <v>2187</v>
      </c>
      <c r="G1467" s="80" t="b">
        <v>0</v>
      </c>
      <c r="H1467" s="80" t="b">
        <v>0</v>
      </c>
      <c r="I1467" s="80" t="b">
        <v>0</v>
      </c>
      <c r="J1467" s="80" t="b">
        <v>0</v>
      </c>
      <c r="K1467" s="80" t="b">
        <v>0</v>
      </c>
      <c r="L1467" s="80" t="b">
        <v>0</v>
      </c>
    </row>
    <row r="1468" spans="1:12" ht="15">
      <c r="A1468" s="81" t="s">
        <v>2342</v>
      </c>
      <c r="B1468" s="80" t="s">
        <v>2241</v>
      </c>
      <c r="C1468" s="80">
        <v>7</v>
      </c>
      <c r="D1468" s="104">
        <v>0.005830480746026749</v>
      </c>
      <c r="E1468" s="104">
        <v>2.1451964061141817</v>
      </c>
      <c r="F1468" s="80" t="s">
        <v>2187</v>
      </c>
      <c r="G1468" s="80" t="b">
        <v>1</v>
      </c>
      <c r="H1468" s="80" t="b">
        <v>0</v>
      </c>
      <c r="I1468" s="80" t="b">
        <v>0</v>
      </c>
      <c r="J1468" s="80" t="b">
        <v>0</v>
      </c>
      <c r="K1468" s="80" t="b">
        <v>0</v>
      </c>
      <c r="L1468" s="80" t="b">
        <v>0</v>
      </c>
    </row>
    <row r="1469" spans="1:12" ht="15">
      <c r="A1469" s="81" t="s">
        <v>2244</v>
      </c>
      <c r="B1469" s="80" t="s">
        <v>2276</v>
      </c>
      <c r="C1469" s="80">
        <v>6</v>
      </c>
      <c r="D1469" s="104">
        <v>0.0037183906376417855</v>
      </c>
      <c r="E1469" s="104">
        <v>1.9410764234582571</v>
      </c>
      <c r="F1469" s="80" t="s">
        <v>2187</v>
      </c>
      <c r="G1469" s="80" t="b">
        <v>0</v>
      </c>
      <c r="H1469" s="80" t="b">
        <v>0</v>
      </c>
      <c r="I1469" s="80" t="b">
        <v>0</v>
      </c>
      <c r="J1469" s="80" t="b">
        <v>0</v>
      </c>
      <c r="K1469" s="80" t="b">
        <v>0</v>
      </c>
      <c r="L1469" s="80" t="b">
        <v>0</v>
      </c>
    </row>
    <row r="1470" spans="1:12" ht="15">
      <c r="A1470" s="81" t="s">
        <v>2262</v>
      </c>
      <c r="B1470" s="80" t="s">
        <v>2289</v>
      </c>
      <c r="C1470" s="80">
        <v>6</v>
      </c>
      <c r="D1470" s="104">
        <v>0.0049975549251657855</v>
      </c>
      <c r="E1470" s="104">
        <v>1.7386562256802267</v>
      </c>
      <c r="F1470" s="80" t="s">
        <v>2187</v>
      </c>
      <c r="G1470" s="80" t="b">
        <v>0</v>
      </c>
      <c r="H1470" s="80" t="b">
        <v>0</v>
      </c>
      <c r="I1470" s="80" t="b">
        <v>0</v>
      </c>
      <c r="J1470" s="80" t="b">
        <v>0</v>
      </c>
      <c r="K1470" s="80" t="b">
        <v>0</v>
      </c>
      <c r="L1470" s="80" t="b">
        <v>0</v>
      </c>
    </row>
    <row r="1471" spans="1:12" ht="15">
      <c r="A1471" s="81" t="s">
        <v>2262</v>
      </c>
      <c r="B1471" s="80" t="s">
        <v>2285</v>
      </c>
      <c r="C1471" s="80">
        <v>6</v>
      </c>
      <c r="D1471" s="104">
        <v>0.0037183906376417855</v>
      </c>
      <c r="E1471" s="104">
        <v>1.6928987351195517</v>
      </c>
      <c r="F1471" s="80" t="s">
        <v>2187</v>
      </c>
      <c r="G1471" s="80" t="b">
        <v>0</v>
      </c>
      <c r="H1471" s="80" t="b">
        <v>0</v>
      </c>
      <c r="I1471" s="80" t="b">
        <v>0</v>
      </c>
      <c r="J1471" s="80" t="b">
        <v>0</v>
      </c>
      <c r="K1471" s="80" t="b">
        <v>0</v>
      </c>
      <c r="L1471" s="80" t="b">
        <v>0</v>
      </c>
    </row>
    <row r="1472" spans="1:12" ht="15">
      <c r="A1472" s="81" t="s">
        <v>2213</v>
      </c>
      <c r="B1472" s="80" t="s">
        <v>2214</v>
      </c>
      <c r="C1472" s="80">
        <v>6</v>
      </c>
      <c r="D1472" s="104">
        <v>0.0016909632096545509</v>
      </c>
      <c r="E1472" s="104">
        <v>2.103803720955957</v>
      </c>
      <c r="F1472" s="80" t="s">
        <v>2187</v>
      </c>
      <c r="G1472" s="80" t="b">
        <v>0</v>
      </c>
      <c r="H1472" s="80" t="b">
        <v>0</v>
      </c>
      <c r="I1472" s="80" t="b">
        <v>0</v>
      </c>
      <c r="J1472" s="80" t="b">
        <v>0</v>
      </c>
      <c r="K1472" s="80" t="b">
        <v>0</v>
      </c>
      <c r="L1472" s="80" t="b">
        <v>0</v>
      </c>
    </row>
    <row r="1473" spans="1:12" ht="15">
      <c r="A1473" s="81" t="s">
        <v>2349</v>
      </c>
      <c r="B1473" s="80" t="s">
        <v>2449</v>
      </c>
      <c r="C1473" s="80">
        <v>6</v>
      </c>
      <c r="D1473" s="104">
        <v>0.0049975549251657855</v>
      </c>
      <c r="E1473" s="104">
        <v>2.3670451557305383</v>
      </c>
      <c r="F1473" s="80" t="s">
        <v>2187</v>
      </c>
      <c r="G1473" s="80" t="b">
        <v>0</v>
      </c>
      <c r="H1473" s="80" t="b">
        <v>0</v>
      </c>
      <c r="I1473" s="80" t="b">
        <v>0</v>
      </c>
      <c r="J1473" s="80" t="b">
        <v>0</v>
      </c>
      <c r="K1473" s="80" t="b">
        <v>0</v>
      </c>
      <c r="L1473" s="80" t="b">
        <v>0</v>
      </c>
    </row>
    <row r="1474" spans="1:12" ht="15">
      <c r="A1474" s="81" t="s">
        <v>2298</v>
      </c>
      <c r="B1474" s="80" t="s">
        <v>2436</v>
      </c>
      <c r="C1474" s="80">
        <v>5</v>
      </c>
      <c r="D1474" s="104">
        <v>0.0030986588647014877</v>
      </c>
      <c r="E1474" s="104">
        <v>2.103803720955957</v>
      </c>
      <c r="F1474" s="80" t="s">
        <v>2187</v>
      </c>
      <c r="G1474" s="80" t="b">
        <v>0</v>
      </c>
      <c r="H1474" s="80" t="b">
        <v>0</v>
      </c>
      <c r="I1474" s="80" t="b">
        <v>0</v>
      </c>
      <c r="J1474" s="80" t="b">
        <v>0</v>
      </c>
      <c r="K1474" s="80" t="b">
        <v>0</v>
      </c>
      <c r="L1474" s="80" t="b">
        <v>0</v>
      </c>
    </row>
    <row r="1475" spans="1:12" ht="15">
      <c r="A1475" s="81" t="s">
        <v>2388</v>
      </c>
      <c r="B1475" s="80" t="s">
        <v>2255</v>
      </c>
      <c r="C1475" s="80">
        <v>5</v>
      </c>
      <c r="D1475" s="104">
        <v>0.00416462910430482</v>
      </c>
      <c r="E1475" s="104">
        <v>2.0379864364663134</v>
      </c>
      <c r="F1475" s="80" t="s">
        <v>2187</v>
      </c>
      <c r="G1475" s="80" t="b">
        <v>0</v>
      </c>
      <c r="H1475" s="80" t="b">
        <v>0</v>
      </c>
      <c r="I1475" s="80" t="b">
        <v>0</v>
      </c>
      <c r="J1475" s="80" t="b">
        <v>1</v>
      </c>
      <c r="K1475" s="80" t="b">
        <v>0</v>
      </c>
      <c r="L1475" s="80" t="b">
        <v>0</v>
      </c>
    </row>
    <row r="1476" spans="1:12" ht="15">
      <c r="A1476" s="81" t="s">
        <v>2449</v>
      </c>
      <c r="B1476" s="80" t="s">
        <v>2342</v>
      </c>
      <c r="C1476" s="80">
        <v>5</v>
      </c>
      <c r="D1476" s="104">
        <v>0.00416462910430482</v>
      </c>
      <c r="E1476" s="104">
        <v>2.2209171200523</v>
      </c>
      <c r="F1476" s="80" t="s">
        <v>2187</v>
      </c>
      <c r="G1476" s="80" t="b">
        <v>0</v>
      </c>
      <c r="H1476" s="80" t="b">
        <v>0</v>
      </c>
      <c r="I1476" s="80" t="b">
        <v>0</v>
      </c>
      <c r="J1476" s="80" t="b">
        <v>1</v>
      </c>
      <c r="K1476" s="80" t="b">
        <v>0</v>
      </c>
      <c r="L1476" s="80" t="b">
        <v>0</v>
      </c>
    </row>
    <row r="1477" spans="1:12" ht="15">
      <c r="A1477" s="81" t="s">
        <v>2298</v>
      </c>
      <c r="B1477" s="80" t="s">
        <v>2503</v>
      </c>
      <c r="C1477" s="80">
        <v>5</v>
      </c>
      <c r="D1477" s="104">
        <v>0.00416462910430482</v>
      </c>
      <c r="E1477" s="104">
        <v>2.103803720955957</v>
      </c>
      <c r="F1477" s="80" t="s">
        <v>2187</v>
      </c>
      <c r="G1477" s="80" t="b">
        <v>0</v>
      </c>
      <c r="H1477" s="80" t="b">
        <v>0</v>
      </c>
      <c r="I1477" s="80" t="b">
        <v>0</v>
      </c>
      <c r="J1477" s="80" t="b">
        <v>0</v>
      </c>
      <c r="K1477" s="80" t="b">
        <v>0</v>
      </c>
      <c r="L1477" s="80" t="b">
        <v>0</v>
      </c>
    </row>
    <row r="1478" spans="1:12" ht="15">
      <c r="A1478" s="81" t="s">
        <v>2227</v>
      </c>
      <c r="B1478" s="80" t="s">
        <v>2565</v>
      </c>
      <c r="C1478" s="80">
        <v>4</v>
      </c>
      <c r="D1478" s="104">
        <v>0.0033317032834438566</v>
      </c>
      <c r="E1478" s="104">
        <v>1.5117279505345955</v>
      </c>
      <c r="F1478" s="80" t="s">
        <v>2187</v>
      </c>
      <c r="G1478" s="80" t="b">
        <v>0</v>
      </c>
      <c r="H1478" s="80" t="b">
        <v>0</v>
      </c>
      <c r="I1478" s="80" t="b">
        <v>0</v>
      </c>
      <c r="J1478" s="80" t="b">
        <v>0</v>
      </c>
      <c r="K1478" s="80" t="b">
        <v>0</v>
      </c>
      <c r="L1478" s="80" t="b">
        <v>0</v>
      </c>
    </row>
    <row r="1479" spans="1:12" ht="15">
      <c r="A1479" s="81" t="s">
        <v>2276</v>
      </c>
      <c r="B1479" s="80" t="s">
        <v>2227</v>
      </c>
      <c r="C1479" s="80">
        <v>4</v>
      </c>
      <c r="D1479" s="104">
        <v>0.0033317032834438566</v>
      </c>
      <c r="E1479" s="104">
        <v>1.3356366914789142</v>
      </c>
      <c r="F1479" s="80" t="s">
        <v>2187</v>
      </c>
      <c r="G1479" s="80" t="b">
        <v>0</v>
      </c>
      <c r="H1479" s="80" t="b">
        <v>0</v>
      </c>
      <c r="I1479" s="80" t="b">
        <v>0</v>
      </c>
      <c r="J1479" s="80" t="b">
        <v>0</v>
      </c>
      <c r="K1479" s="80" t="b">
        <v>0</v>
      </c>
      <c r="L1479" s="80" t="b">
        <v>0</v>
      </c>
    </row>
    <row r="1480" spans="1:12" ht="15">
      <c r="A1480" s="81" t="s">
        <v>2289</v>
      </c>
      <c r="B1480" s="80" t="s">
        <v>2244</v>
      </c>
      <c r="C1480" s="80">
        <v>4</v>
      </c>
      <c r="D1480" s="104">
        <v>0.0033317032834438566</v>
      </c>
      <c r="E1480" s="104">
        <v>1.5888939053468947</v>
      </c>
      <c r="F1480" s="80" t="s">
        <v>2187</v>
      </c>
      <c r="G1480" s="80" t="b">
        <v>0</v>
      </c>
      <c r="H1480" s="80" t="b">
        <v>0</v>
      </c>
      <c r="I1480" s="80" t="b">
        <v>0</v>
      </c>
      <c r="J1480" s="80" t="b">
        <v>0</v>
      </c>
      <c r="K1480" s="80" t="b">
        <v>0</v>
      </c>
      <c r="L1480" s="80" t="b">
        <v>0</v>
      </c>
    </row>
    <row r="1481" spans="1:12" ht="15">
      <c r="A1481" s="81" t="s">
        <v>2262</v>
      </c>
      <c r="B1481" s="80" t="s">
        <v>2316</v>
      </c>
      <c r="C1481" s="80">
        <v>4</v>
      </c>
      <c r="D1481" s="104">
        <v>0.0033317032834438566</v>
      </c>
      <c r="E1481" s="104">
        <v>1.8178374717278516</v>
      </c>
      <c r="F1481" s="80" t="s">
        <v>2187</v>
      </c>
      <c r="G1481" s="80" t="b">
        <v>0</v>
      </c>
      <c r="H1481" s="80" t="b">
        <v>0</v>
      </c>
      <c r="I1481" s="80" t="b">
        <v>0</v>
      </c>
      <c r="J1481" s="80" t="b">
        <v>0</v>
      </c>
      <c r="K1481" s="80" t="b">
        <v>0</v>
      </c>
      <c r="L1481" s="80" t="b">
        <v>0</v>
      </c>
    </row>
    <row r="1482" spans="1:12" ht="15">
      <c r="A1482" s="81" t="s">
        <v>2316</v>
      </c>
      <c r="B1482" s="80" t="s">
        <v>2244</v>
      </c>
      <c r="C1482" s="80">
        <v>4</v>
      </c>
      <c r="D1482" s="104">
        <v>0.0024789270917611904</v>
      </c>
      <c r="E1482" s="104">
        <v>1.8441664104502007</v>
      </c>
      <c r="F1482" s="80" t="s">
        <v>2187</v>
      </c>
      <c r="G1482" s="80" t="b">
        <v>0</v>
      </c>
      <c r="H1482" s="80" t="b">
        <v>0</v>
      </c>
      <c r="I1482" s="80" t="b">
        <v>0</v>
      </c>
      <c r="J1482" s="80" t="b">
        <v>0</v>
      </c>
      <c r="K1482" s="80" t="b">
        <v>0</v>
      </c>
      <c r="L1482" s="80" t="b">
        <v>0</v>
      </c>
    </row>
    <row r="1483" spans="1:12" ht="15">
      <c r="A1483" s="81" t="s">
        <v>2345</v>
      </c>
      <c r="B1483" s="80" t="s">
        <v>2220</v>
      </c>
      <c r="C1483" s="80">
        <v>4</v>
      </c>
      <c r="D1483" s="104">
        <v>0.0033317032834438566</v>
      </c>
      <c r="E1483" s="104">
        <v>1.6468858523245813</v>
      </c>
      <c r="F1483" s="80" t="s">
        <v>2187</v>
      </c>
      <c r="G1483" s="80" t="b">
        <v>0</v>
      </c>
      <c r="H1483" s="80" t="b">
        <v>0</v>
      </c>
      <c r="I1483" s="80" t="b">
        <v>0</v>
      </c>
      <c r="J1483" s="80" t="b">
        <v>0</v>
      </c>
      <c r="K1483" s="80" t="b">
        <v>0</v>
      </c>
      <c r="L1483" s="80" t="b">
        <v>0</v>
      </c>
    </row>
    <row r="1484" spans="1:12" ht="15">
      <c r="A1484" s="81" t="s">
        <v>2386</v>
      </c>
      <c r="B1484" s="80" t="s">
        <v>2267</v>
      </c>
      <c r="C1484" s="80">
        <v>4</v>
      </c>
      <c r="D1484" s="104">
        <v>0.0033317032834438566</v>
      </c>
      <c r="E1484" s="104">
        <v>2.1451964061141817</v>
      </c>
      <c r="F1484" s="80" t="s">
        <v>2187</v>
      </c>
      <c r="G1484" s="80" t="b">
        <v>0</v>
      </c>
      <c r="H1484" s="80" t="b">
        <v>0</v>
      </c>
      <c r="I1484" s="80" t="b">
        <v>0</v>
      </c>
      <c r="J1484" s="80" t="b">
        <v>0</v>
      </c>
      <c r="K1484" s="80" t="b">
        <v>0</v>
      </c>
      <c r="L1484" s="80" t="b">
        <v>0</v>
      </c>
    </row>
    <row r="1485" spans="1:12" ht="15">
      <c r="A1485" s="81" t="s">
        <v>2227</v>
      </c>
      <c r="B1485" s="80" t="s">
        <v>2416</v>
      </c>
      <c r="C1485" s="80">
        <v>4</v>
      </c>
      <c r="D1485" s="104">
        <v>0.0033317032834438566</v>
      </c>
      <c r="E1485" s="104">
        <v>1.2686899018483009</v>
      </c>
      <c r="F1485" s="80" t="s">
        <v>2187</v>
      </c>
      <c r="G1485" s="80" t="b">
        <v>0</v>
      </c>
      <c r="H1485" s="80" t="b">
        <v>0</v>
      </c>
      <c r="I1485" s="80" t="b">
        <v>0</v>
      </c>
      <c r="J1485" s="80" t="b">
        <v>0</v>
      </c>
      <c r="K1485" s="80" t="b">
        <v>0</v>
      </c>
      <c r="L1485" s="80" t="b">
        <v>0</v>
      </c>
    </row>
    <row r="1486" spans="1:12" ht="15">
      <c r="A1486" s="81" t="s">
        <v>2227</v>
      </c>
      <c r="B1486" s="80" t="s">
        <v>2576</v>
      </c>
      <c r="C1486" s="80">
        <v>4</v>
      </c>
      <c r="D1486" s="104">
        <v>0.0033317032834438566</v>
      </c>
      <c r="E1486" s="104">
        <v>1.5117279505345955</v>
      </c>
      <c r="F1486" s="80" t="s">
        <v>2187</v>
      </c>
      <c r="G1486" s="80" t="b">
        <v>0</v>
      </c>
      <c r="H1486" s="80" t="b">
        <v>0</v>
      </c>
      <c r="I1486" s="80" t="b">
        <v>0</v>
      </c>
      <c r="J1486" s="80" t="b">
        <v>0</v>
      </c>
      <c r="K1486" s="80" t="b">
        <v>0</v>
      </c>
      <c r="L1486" s="80" t="b">
        <v>0</v>
      </c>
    </row>
    <row r="1487" spans="1:12" ht="15">
      <c r="A1487" s="81" t="s">
        <v>2441</v>
      </c>
      <c r="B1487" s="80" t="s">
        <v>2227</v>
      </c>
      <c r="C1487" s="80">
        <v>4</v>
      </c>
      <c r="D1487" s="104">
        <v>0.0024789270917611904</v>
      </c>
      <c r="E1487" s="104">
        <v>1.3356366914789142</v>
      </c>
      <c r="F1487" s="80" t="s">
        <v>2187</v>
      </c>
      <c r="G1487" s="80" t="b">
        <v>0</v>
      </c>
      <c r="H1487" s="80" t="b">
        <v>0</v>
      </c>
      <c r="I1487" s="80" t="b">
        <v>0</v>
      </c>
      <c r="J1487" s="80" t="b">
        <v>0</v>
      </c>
      <c r="K1487" s="80" t="b">
        <v>0</v>
      </c>
      <c r="L1487" s="80" t="b">
        <v>0</v>
      </c>
    </row>
    <row r="1488" spans="1:12" ht="15">
      <c r="A1488" s="81" t="s">
        <v>2255</v>
      </c>
      <c r="B1488" s="80" t="s">
        <v>2567</v>
      </c>
      <c r="C1488" s="80">
        <v>3</v>
      </c>
      <c r="D1488" s="104">
        <v>0.0024987774625828928</v>
      </c>
      <c r="E1488" s="104">
        <v>2.2421064191222384</v>
      </c>
      <c r="F1488" s="80" t="s">
        <v>2187</v>
      </c>
      <c r="G1488" s="80" t="b">
        <v>1</v>
      </c>
      <c r="H1488" s="80" t="b">
        <v>0</v>
      </c>
      <c r="I1488" s="80" t="b">
        <v>0</v>
      </c>
      <c r="J1488" s="80" t="b">
        <v>0</v>
      </c>
      <c r="K1488" s="80" t="b">
        <v>0</v>
      </c>
      <c r="L1488" s="80" t="b">
        <v>0</v>
      </c>
    </row>
    <row r="1489" spans="1:12" ht="15">
      <c r="A1489" s="81" t="s">
        <v>2739</v>
      </c>
      <c r="B1489" s="80" t="s">
        <v>2229</v>
      </c>
      <c r="C1489" s="80">
        <v>3</v>
      </c>
      <c r="D1489" s="104">
        <v>0.0024987774625828928</v>
      </c>
      <c r="E1489" s="104">
        <v>2.6680751513945196</v>
      </c>
      <c r="F1489" s="80" t="s">
        <v>2187</v>
      </c>
      <c r="G1489" s="80" t="b">
        <v>0</v>
      </c>
      <c r="H1489" s="80" t="b">
        <v>0</v>
      </c>
      <c r="I1489" s="80" t="b">
        <v>0</v>
      </c>
      <c r="J1489" s="80" t="b">
        <v>0</v>
      </c>
      <c r="K1489" s="80" t="b">
        <v>0</v>
      </c>
      <c r="L1489" s="80" t="b">
        <v>0</v>
      </c>
    </row>
    <row r="1490" spans="1:12" ht="15">
      <c r="A1490" s="81" t="s">
        <v>2228</v>
      </c>
      <c r="B1490" s="80" t="s">
        <v>2223</v>
      </c>
      <c r="C1490" s="80">
        <v>3</v>
      </c>
      <c r="D1490" s="104">
        <v>0.0024987774625828928</v>
      </c>
      <c r="E1490" s="104">
        <v>2.2421064191222384</v>
      </c>
      <c r="F1490" s="80" t="s">
        <v>2187</v>
      </c>
      <c r="G1490" s="80" t="b">
        <v>0</v>
      </c>
      <c r="H1490" s="80" t="b">
        <v>0</v>
      </c>
      <c r="I1490" s="80" t="b">
        <v>0</v>
      </c>
      <c r="J1490" s="80" t="b">
        <v>0</v>
      </c>
      <c r="K1490" s="80" t="b">
        <v>0</v>
      </c>
      <c r="L1490" s="80" t="b">
        <v>0</v>
      </c>
    </row>
    <row r="1491" spans="1:12" ht="15">
      <c r="A1491" s="81" t="s">
        <v>2285</v>
      </c>
      <c r="B1491" s="80" t="s">
        <v>2244</v>
      </c>
      <c r="C1491" s="80">
        <v>3</v>
      </c>
      <c r="D1491" s="104">
        <v>0.0018591953188208928</v>
      </c>
      <c r="E1491" s="104">
        <v>1.4181976781779195</v>
      </c>
      <c r="F1491" s="80" t="s">
        <v>2187</v>
      </c>
      <c r="G1491" s="80" t="b">
        <v>0</v>
      </c>
      <c r="H1491" s="80" t="b">
        <v>0</v>
      </c>
      <c r="I1491" s="80" t="b">
        <v>0</v>
      </c>
      <c r="J1491" s="80" t="b">
        <v>0</v>
      </c>
      <c r="K1491" s="80" t="b">
        <v>0</v>
      </c>
      <c r="L1491" s="80" t="b">
        <v>0</v>
      </c>
    </row>
    <row r="1492" spans="1:12" ht="15">
      <c r="A1492" s="81" t="s">
        <v>2225</v>
      </c>
      <c r="B1492" s="80" t="s">
        <v>2222</v>
      </c>
      <c r="C1492" s="80">
        <v>3</v>
      </c>
      <c r="D1492" s="104">
        <v>0.0014850637485892754</v>
      </c>
      <c r="E1492" s="104">
        <v>1.9410764234582571</v>
      </c>
      <c r="F1492" s="80" t="s">
        <v>2187</v>
      </c>
      <c r="G1492" s="80" t="b">
        <v>0</v>
      </c>
      <c r="H1492" s="80" t="b">
        <v>0</v>
      </c>
      <c r="I1492" s="80" t="b">
        <v>0</v>
      </c>
      <c r="J1492" s="80" t="b">
        <v>0</v>
      </c>
      <c r="K1492" s="80" t="b">
        <v>0</v>
      </c>
      <c r="L1492" s="80" t="b">
        <v>0</v>
      </c>
    </row>
    <row r="1493" spans="1:12" ht="15">
      <c r="A1493" s="81" t="s">
        <v>2220</v>
      </c>
      <c r="B1493" s="80" t="s">
        <v>2298</v>
      </c>
      <c r="C1493" s="80">
        <v>3</v>
      </c>
      <c r="D1493" s="104">
        <v>0.0018591953188208928</v>
      </c>
      <c r="E1493" s="104">
        <v>1.2587056809417</v>
      </c>
      <c r="F1493" s="80" t="s">
        <v>2187</v>
      </c>
      <c r="G1493" s="80" t="b">
        <v>0</v>
      </c>
      <c r="H1493" s="80" t="b">
        <v>0</v>
      </c>
      <c r="I1493" s="80" t="b">
        <v>0</v>
      </c>
      <c r="J1493" s="80" t="b">
        <v>0</v>
      </c>
      <c r="K1493" s="80" t="b">
        <v>0</v>
      </c>
      <c r="L1493" s="80" t="b">
        <v>0</v>
      </c>
    </row>
    <row r="1494" spans="1:12" ht="15">
      <c r="A1494" s="81" t="s">
        <v>2643</v>
      </c>
      <c r="B1494" s="80" t="s">
        <v>2262</v>
      </c>
      <c r="C1494" s="80">
        <v>3</v>
      </c>
      <c r="D1494" s="104">
        <v>0.0024987774625828928</v>
      </c>
      <c r="E1494" s="104">
        <v>1.789808748127608</v>
      </c>
      <c r="F1494" s="80" t="s">
        <v>2187</v>
      </c>
      <c r="G1494" s="80" t="b">
        <v>0</v>
      </c>
      <c r="H1494" s="80" t="b">
        <v>0</v>
      </c>
      <c r="I1494" s="80" t="b">
        <v>0</v>
      </c>
      <c r="J1494" s="80" t="b">
        <v>0</v>
      </c>
      <c r="K1494" s="80" t="b">
        <v>0</v>
      </c>
      <c r="L1494" s="80" t="b">
        <v>0</v>
      </c>
    </row>
    <row r="1495" spans="1:12" ht="15">
      <c r="A1495" s="81" t="s">
        <v>2539</v>
      </c>
      <c r="B1495" s="80" t="s">
        <v>2247</v>
      </c>
      <c r="C1495" s="80">
        <v>3</v>
      </c>
      <c r="D1495" s="104">
        <v>0.0024987774625828928</v>
      </c>
      <c r="E1495" s="104">
        <v>2.0782496164835687</v>
      </c>
      <c r="F1495" s="80" t="s">
        <v>2187</v>
      </c>
      <c r="G1495" s="80" t="b">
        <v>0</v>
      </c>
      <c r="H1495" s="80" t="b">
        <v>0</v>
      </c>
      <c r="I1495" s="80" t="b">
        <v>0</v>
      </c>
      <c r="J1495" s="80" t="b">
        <v>0</v>
      </c>
      <c r="K1495" s="80" t="b">
        <v>0</v>
      </c>
      <c r="L1495" s="80" t="b">
        <v>0</v>
      </c>
    </row>
    <row r="1496" spans="1:12" ht="15">
      <c r="A1496" s="81" t="s">
        <v>2465</v>
      </c>
      <c r="B1496" s="80" t="s">
        <v>2228</v>
      </c>
      <c r="C1496" s="80">
        <v>3</v>
      </c>
      <c r="D1496" s="104">
        <v>0.0024987774625828928</v>
      </c>
      <c r="E1496" s="104">
        <v>2.066015160066557</v>
      </c>
      <c r="F1496" s="80" t="s">
        <v>2187</v>
      </c>
      <c r="G1496" s="80" t="b">
        <v>0</v>
      </c>
      <c r="H1496" s="80" t="b">
        <v>0</v>
      </c>
      <c r="I1496" s="80" t="b">
        <v>0</v>
      </c>
      <c r="J1496" s="80" t="b">
        <v>0</v>
      </c>
      <c r="K1496" s="80" t="b">
        <v>0</v>
      </c>
      <c r="L1496" s="80" t="b">
        <v>0</v>
      </c>
    </row>
    <row r="1497" spans="1:12" ht="15">
      <c r="A1497" s="81" t="s">
        <v>2220</v>
      </c>
      <c r="B1497" s="80" t="s">
        <v>2838</v>
      </c>
      <c r="C1497" s="80">
        <v>3</v>
      </c>
      <c r="D1497" s="104">
        <v>0.0024987774625828928</v>
      </c>
      <c r="E1497" s="104">
        <v>1.8229771113802626</v>
      </c>
      <c r="F1497" s="80" t="s">
        <v>2187</v>
      </c>
      <c r="G1497" s="80" t="b">
        <v>0</v>
      </c>
      <c r="H1497" s="80" t="b">
        <v>0</v>
      </c>
      <c r="I1497" s="80" t="b">
        <v>0</v>
      </c>
      <c r="J1497" s="80" t="b">
        <v>0</v>
      </c>
      <c r="K1497" s="80" t="b">
        <v>0</v>
      </c>
      <c r="L1497" s="80" t="b">
        <v>0</v>
      </c>
    </row>
    <row r="1498" spans="1:12" ht="15">
      <c r="A1498" s="81" t="s">
        <v>2319</v>
      </c>
      <c r="B1498" s="80" t="s">
        <v>2227</v>
      </c>
      <c r="C1498" s="80">
        <v>3</v>
      </c>
      <c r="D1498" s="104">
        <v>0.0024987774625828928</v>
      </c>
      <c r="E1498" s="104">
        <v>1.034606695814933</v>
      </c>
      <c r="F1498" s="80" t="s">
        <v>2187</v>
      </c>
      <c r="G1498" s="80" t="b">
        <v>0</v>
      </c>
      <c r="H1498" s="80" t="b">
        <v>0</v>
      </c>
      <c r="I1498" s="80" t="b">
        <v>0</v>
      </c>
      <c r="J1498" s="80" t="b">
        <v>0</v>
      </c>
      <c r="K1498" s="80" t="b">
        <v>0</v>
      </c>
      <c r="L1498" s="80" t="b">
        <v>0</v>
      </c>
    </row>
    <row r="1499" spans="1:12" ht="15">
      <c r="A1499" s="81" t="s">
        <v>2244</v>
      </c>
      <c r="B1499" s="80" t="s">
        <v>2227</v>
      </c>
      <c r="C1499" s="80">
        <v>3</v>
      </c>
      <c r="D1499" s="104">
        <v>0.0024987774625828928</v>
      </c>
      <c r="E1499" s="104">
        <v>0.7847292225983331</v>
      </c>
      <c r="F1499" s="80" t="s">
        <v>2187</v>
      </c>
      <c r="G1499" s="80" t="b">
        <v>0</v>
      </c>
      <c r="H1499" s="80" t="b">
        <v>0</v>
      </c>
      <c r="I1499" s="80" t="b">
        <v>0</v>
      </c>
      <c r="J1499" s="80" t="b">
        <v>0</v>
      </c>
      <c r="K1499" s="80" t="b">
        <v>0</v>
      </c>
      <c r="L1499" s="80" t="b">
        <v>0</v>
      </c>
    </row>
    <row r="1500" spans="1:12" ht="15">
      <c r="A1500" s="81" t="s">
        <v>2880</v>
      </c>
      <c r="B1500" s="80" t="s">
        <v>2298</v>
      </c>
      <c r="C1500" s="80">
        <v>3</v>
      </c>
      <c r="D1500" s="104">
        <v>0.0024987774625828928</v>
      </c>
      <c r="E1500" s="104">
        <v>2.103803720955957</v>
      </c>
      <c r="F1500" s="80" t="s">
        <v>2187</v>
      </c>
      <c r="G1500" s="80" t="b">
        <v>0</v>
      </c>
      <c r="H1500" s="80" t="b">
        <v>0</v>
      </c>
      <c r="I1500" s="80" t="b">
        <v>0</v>
      </c>
      <c r="J1500" s="80" t="b">
        <v>0</v>
      </c>
      <c r="K1500" s="80" t="b">
        <v>0</v>
      </c>
      <c r="L1500" s="80" t="b">
        <v>0</v>
      </c>
    </row>
    <row r="1501" spans="1:12" ht="15">
      <c r="A1501" s="81" t="s">
        <v>2576</v>
      </c>
      <c r="B1501" s="80" t="s">
        <v>2416</v>
      </c>
      <c r="C1501" s="80">
        <v>3</v>
      </c>
      <c r="D1501" s="104">
        <v>0.0024987774625828928</v>
      </c>
      <c r="E1501" s="104">
        <v>2.1751596294916253</v>
      </c>
      <c r="F1501" s="80" t="s">
        <v>2187</v>
      </c>
      <c r="G1501" s="80" t="b">
        <v>0</v>
      </c>
      <c r="H1501" s="80" t="b">
        <v>0</v>
      </c>
      <c r="I1501" s="80" t="b">
        <v>0</v>
      </c>
      <c r="J1501" s="80" t="b">
        <v>0</v>
      </c>
      <c r="K1501" s="80" t="b">
        <v>0</v>
      </c>
      <c r="L1501" s="80" t="b">
        <v>0</v>
      </c>
    </row>
    <row r="1502" spans="1:12" ht="15">
      <c r="A1502" s="81" t="s">
        <v>2245</v>
      </c>
      <c r="B1502" s="80" t="s">
        <v>2262</v>
      </c>
      <c r="C1502" s="80">
        <v>3</v>
      </c>
      <c r="D1502" s="104">
        <v>0.0018591953188208928</v>
      </c>
      <c r="E1502" s="104">
        <v>1.789808748127608</v>
      </c>
      <c r="F1502" s="80" t="s">
        <v>2187</v>
      </c>
      <c r="G1502" s="80" t="b">
        <v>0</v>
      </c>
      <c r="H1502" s="80" t="b">
        <v>0</v>
      </c>
      <c r="I1502" s="80" t="b">
        <v>0</v>
      </c>
      <c r="J1502" s="80" t="b">
        <v>0</v>
      </c>
      <c r="K1502" s="80" t="b">
        <v>0</v>
      </c>
      <c r="L1502" s="80" t="b">
        <v>0</v>
      </c>
    </row>
    <row r="1503" spans="1:12" ht="15">
      <c r="A1503" s="81" t="s">
        <v>2487</v>
      </c>
      <c r="B1503" s="80" t="s">
        <v>2441</v>
      </c>
      <c r="C1503" s="80">
        <v>3</v>
      </c>
      <c r="D1503" s="104">
        <v>0.0024987774625828928</v>
      </c>
      <c r="E1503" s="104">
        <v>2.1451964061141817</v>
      </c>
      <c r="F1503" s="80" t="s">
        <v>2187</v>
      </c>
      <c r="G1503" s="80" t="b">
        <v>0</v>
      </c>
      <c r="H1503" s="80" t="b">
        <v>0</v>
      </c>
      <c r="I1503" s="80" t="b">
        <v>0</v>
      </c>
      <c r="J1503" s="80" t="b">
        <v>0</v>
      </c>
      <c r="K1503" s="80" t="b">
        <v>0</v>
      </c>
      <c r="L1503" s="80" t="b">
        <v>0</v>
      </c>
    </row>
    <row r="1504" spans="1:12" ht="15">
      <c r="A1504" s="81" t="s">
        <v>2390</v>
      </c>
      <c r="B1504" s="80" t="s">
        <v>2220</v>
      </c>
      <c r="C1504" s="80">
        <v>3</v>
      </c>
      <c r="D1504" s="104">
        <v>0.0024987774625828928</v>
      </c>
      <c r="E1504" s="104">
        <v>1.8229771113802626</v>
      </c>
      <c r="F1504" s="80" t="s">
        <v>2187</v>
      </c>
      <c r="G1504" s="80" t="b">
        <v>0</v>
      </c>
      <c r="H1504" s="80" t="b">
        <v>0</v>
      </c>
      <c r="I1504" s="80" t="b">
        <v>0</v>
      </c>
      <c r="J1504" s="80" t="b">
        <v>0</v>
      </c>
      <c r="K1504" s="80" t="b">
        <v>0</v>
      </c>
      <c r="L1504" s="80" t="b">
        <v>0</v>
      </c>
    </row>
    <row r="1505" spans="1:12" ht="15">
      <c r="A1505" s="81" t="s">
        <v>2577</v>
      </c>
      <c r="B1505" s="80" t="s">
        <v>2724</v>
      </c>
      <c r="C1505" s="80">
        <v>2</v>
      </c>
      <c r="D1505" s="104">
        <v>0.0016658516417219283</v>
      </c>
      <c r="E1505" s="104">
        <v>2.3670451557305383</v>
      </c>
      <c r="F1505" s="80" t="s">
        <v>2187</v>
      </c>
      <c r="G1505" s="80" t="b">
        <v>0</v>
      </c>
      <c r="H1505" s="80" t="b">
        <v>0</v>
      </c>
      <c r="I1505" s="80" t="b">
        <v>0</v>
      </c>
      <c r="J1505" s="80" t="b">
        <v>0</v>
      </c>
      <c r="K1505" s="80" t="b">
        <v>0</v>
      </c>
      <c r="L1505" s="80" t="b">
        <v>0</v>
      </c>
    </row>
    <row r="1506" spans="1:12" ht="15">
      <c r="A1506" s="81" t="s">
        <v>2440</v>
      </c>
      <c r="B1506" s="80" t="s">
        <v>2908</v>
      </c>
      <c r="C1506" s="80">
        <v>2</v>
      </c>
      <c r="D1506" s="104">
        <v>0.0016658516417219283</v>
      </c>
      <c r="E1506" s="104">
        <v>2.844166410450201</v>
      </c>
      <c r="F1506" s="80" t="s">
        <v>2187</v>
      </c>
      <c r="G1506" s="80" t="b">
        <v>0</v>
      </c>
      <c r="H1506" s="80" t="b">
        <v>0</v>
      </c>
      <c r="I1506" s="80" t="b">
        <v>0</v>
      </c>
      <c r="J1506" s="80" t="b">
        <v>0</v>
      </c>
      <c r="K1506" s="80" t="b">
        <v>0</v>
      </c>
      <c r="L1506" s="80" t="b">
        <v>0</v>
      </c>
    </row>
    <row r="1507" spans="1:12" ht="15">
      <c r="A1507" s="81" t="s">
        <v>2231</v>
      </c>
      <c r="B1507" s="80" t="s">
        <v>2219</v>
      </c>
      <c r="C1507" s="80">
        <v>2</v>
      </c>
      <c r="D1507" s="104">
        <v>0.0016658516417219283</v>
      </c>
      <c r="E1507" s="104">
        <v>2.3670451557305383</v>
      </c>
      <c r="F1507" s="80" t="s">
        <v>2187</v>
      </c>
      <c r="G1507" s="80" t="b">
        <v>0</v>
      </c>
      <c r="H1507" s="80" t="b">
        <v>0</v>
      </c>
      <c r="I1507" s="80" t="b">
        <v>0</v>
      </c>
      <c r="J1507" s="80" t="b">
        <v>0</v>
      </c>
      <c r="K1507" s="80" t="b">
        <v>0</v>
      </c>
      <c r="L1507" s="80" t="b">
        <v>0</v>
      </c>
    </row>
    <row r="1508" spans="1:12" ht="15">
      <c r="A1508" s="81" t="s">
        <v>2227</v>
      </c>
      <c r="B1508" s="80" t="s">
        <v>2961</v>
      </c>
      <c r="C1508" s="80">
        <v>2</v>
      </c>
      <c r="D1508" s="104">
        <v>0.0012394635458805952</v>
      </c>
      <c r="E1508" s="104">
        <v>1.5117279505345955</v>
      </c>
      <c r="F1508" s="80" t="s">
        <v>2187</v>
      </c>
      <c r="G1508" s="80" t="b">
        <v>0</v>
      </c>
      <c r="H1508" s="80" t="b">
        <v>0</v>
      </c>
      <c r="I1508" s="80" t="b">
        <v>0</v>
      </c>
      <c r="J1508" s="80" t="b">
        <v>0</v>
      </c>
      <c r="K1508" s="80" t="b">
        <v>0</v>
      </c>
      <c r="L1508" s="80" t="b">
        <v>0</v>
      </c>
    </row>
    <row r="1509" spans="1:12" ht="15">
      <c r="A1509" s="81" t="s">
        <v>2220</v>
      </c>
      <c r="B1509" s="80" t="s">
        <v>2583</v>
      </c>
      <c r="C1509" s="80">
        <v>2</v>
      </c>
      <c r="D1509" s="104">
        <v>0.0016658516417219283</v>
      </c>
      <c r="E1509" s="104">
        <v>1.8229771113802626</v>
      </c>
      <c r="F1509" s="80" t="s">
        <v>2187</v>
      </c>
      <c r="G1509" s="80" t="b">
        <v>0</v>
      </c>
      <c r="H1509" s="80" t="b">
        <v>0</v>
      </c>
      <c r="I1509" s="80" t="b">
        <v>0</v>
      </c>
      <c r="J1509" s="80" t="b">
        <v>0</v>
      </c>
      <c r="K1509" s="80" t="b">
        <v>0</v>
      </c>
      <c r="L1509" s="80" t="b">
        <v>0</v>
      </c>
    </row>
    <row r="1510" spans="1:12" ht="15">
      <c r="A1510" s="81" t="s">
        <v>2896</v>
      </c>
      <c r="B1510" s="80" t="s">
        <v>2884</v>
      </c>
      <c r="C1510" s="80">
        <v>2</v>
      </c>
      <c r="D1510" s="104">
        <v>0.0016658516417219283</v>
      </c>
      <c r="E1510" s="104">
        <v>2.844166410450201</v>
      </c>
      <c r="F1510" s="80" t="s">
        <v>2187</v>
      </c>
      <c r="G1510" s="80" t="b">
        <v>0</v>
      </c>
      <c r="H1510" s="80" t="b">
        <v>0</v>
      </c>
      <c r="I1510" s="80" t="b">
        <v>0</v>
      </c>
      <c r="J1510" s="80" t="b">
        <v>0</v>
      </c>
      <c r="K1510" s="80" t="b">
        <v>0</v>
      </c>
      <c r="L1510" s="80" t="b">
        <v>0</v>
      </c>
    </row>
    <row r="1511" spans="1:12" ht="15">
      <c r="A1511" s="81" t="s">
        <v>2853</v>
      </c>
      <c r="B1511" s="80" t="s">
        <v>2243</v>
      </c>
      <c r="C1511" s="80">
        <v>2</v>
      </c>
      <c r="D1511" s="104">
        <v>0.0016658516417219283</v>
      </c>
      <c r="E1511" s="104">
        <v>2.844166410450201</v>
      </c>
      <c r="F1511" s="80" t="s">
        <v>2187</v>
      </c>
      <c r="G1511" s="80" t="b">
        <v>0</v>
      </c>
      <c r="H1511" s="80" t="b">
        <v>0</v>
      </c>
      <c r="I1511" s="80" t="b">
        <v>0</v>
      </c>
      <c r="J1511" s="80" t="b">
        <v>0</v>
      </c>
      <c r="K1511" s="80" t="b">
        <v>0</v>
      </c>
      <c r="L1511" s="80" t="b">
        <v>0</v>
      </c>
    </row>
    <row r="1512" spans="1:12" ht="15">
      <c r="A1512" s="81" t="s">
        <v>2870</v>
      </c>
      <c r="B1512" s="80" t="s">
        <v>2237</v>
      </c>
      <c r="C1512" s="80">
        <v>2</v>
      </c>
      <c r="D1512" s="104">
        <v>0.0016658516417219283</v>
      </c>
      <c r="E1512" s="104">
        <v>2.844166410450201</v>
      </c>
      <c r="F1512" s="80" t="s">
        <v>2187</v>
      </c>
      <c r="G1512" s="80" t="b">
        <v>0</v>
      </c>
      <c r="H1512" s="80" t="b">
        <v>0</v>
      </c>
      <c r="I1512" s="80" t="b">
        <v>0</v>
      </c>
      <c r="J1512" s="80" t="b">
        <v>0</v>
      </c>
      <c r="K1512" s="80" t="b">
        <v>0</v>
      </c>
      <c r="L1512" s="80" t="b">
        <v>0</v>
      </c>
    </row>
    <row r="1513" spans="1:12" ht="15">
      <c r="A1513" s="81" t="s">
        <v>2220</v>
      </c>
      <c r="B1513" s="80" t="s">
        <v>3264</v>
      </c>
      <c r="C1513" s="80">
        <v>2</v>
      </c>
      <c r="D1513" s="104">
        <v>0.0016658516417219283</v>
      </c>
      <c r="E1513" s="104">
        <v>1.8229771113802626</v>
      </c>
      <c r="F1513" s="80" t="s">
        <v>2187</v>
      </c>
      <c r="G1513" s="80" t="b">
        <v>0</v>
      </c>
      <c r="H1513" s="80" t="b">
        <v>0</v>
      </c>
      <c r="I1513" s="80" t="b">
        <v>0</v>
      </c>
      <c r="J1513" s="80" t="b">
        <v>0</v>
      </c>
      <c r="K1513" s="80" t="b">
        <v>0</v>
      </c>
      <c r="L1513" s="80" t="b">
        <v>0</v>
      </c>
    </row>
    <row r="1514" spans="1:12" ht="15">
      <c r="A1514" s="81" t="s">
        <v>2413</v>
      </c>
      <c r="B1514" s="80" t="s">
        <v>2870</v>
      </c>
      <c r="C1514" s="80">
        <v>2</v>
      </c>
      <c r="D1514" s="104">
        <v>0.0016658516417219283</v>
      </c>
      <c r="E1514" s="104">
        <v>2.3670451557305383</v>
      </c>
      <c r="F1514" s="80" t="s">
        <v>2187</v>
      </c>
      <c r="G1514" s="80" t="b">
        <v>0</v>
      </c>
      <c r="H1514" s="80" t="b">
        <v>0</v>
      </c>
      <c r="I1514" s="80" t="b">
        <v>0</v>
      </c>
      <c r="J1514" s="80" t="b">
        <v>0</v>
      </c>
      <c r="K1514" s="80" t="b">
        <v>0</v>
      </c>
      <c r="L1514" s="80" t="b">
        <v>0</v>
      </c>
    </row>
    <row r="1515" spans="1:12" ht="15">
      <c r="A1515" s="81" t="s">
        <v>2227</v>
      </c>
      <c r="B1515" s="80" t="s">
        <v>2880</v>
      </c>
      <c r="C1515" s="80">
        <v>2</v>
      </c>
      <c r="D1515" s="104">
        <v>0.0016658516417219283</v>
      </c>
      <c r="E1515" s="104">
        <v>1.3356366914789142</v>
      </c>
      <c r="F1515" s="80" t="s">
        <v>2187</v>
      </c>
      <c r="G1515" s="80" t="b">
        <v>0</v>
      </c>
      <c r="H1515" s="80" t="b">
        <v>0</v>
      </c>
      <c r="I1515" s="80" t="b">
        <v>0</v>
      </c>
      <c r="J1515" s="80" t="b">
        <v>0</v>
      </c>
      <c r="K1515" s="80" t="b">
        <v>0</v>
      </c>
      <c r="L1515" s="80" t="b">
        <v>0</v>
      </c>
    </row>
    <row r="1516" spans="1:12" ht="15">
      <c r="A1516" s="81" t="s">
        <v>2244</v>
      </c>
      <c r="B1516" s="80" t="s">
        <v>2862</v>
      </c>
      <c r="C1516" s="80">
        <v>2</v>
      </c>
      <c r="D1516" s="104">
        <v>0.0016658516417219283</v>
      </c>
      <c r="E1516" s="104">
        <v>1.7649851644025758</v>
      </c>
      <c r="F1516" s="80" t="s">
        <v>2187</v>
      </c>
      <c r="G1516" s="80" t="b">
        <v>0</v>
      </c>
      <c r="H1516" s="80" t="b">
        <v>0</v>
      </c>
      <c r="I1516" s="80" t="b">
        <v>0</v>
      </c>
      <c r="J1516" s="80" t="b">
        <v>0</v>
      </c>
      <c r="K1516" s="80" t="b">
        <v>0</v>
      </c>
      <c r="L1516" s="80" t="b">
        <v>0</v>
      </c>
    </row>
    <row r="1517" spans="1:12" ht="15">
      <c r="A1517" s="81" t="s">
        <v>2410</v>
      </c>
      <c r="B1517" s="80" t="s">
        <v>2220</v>
      </c>
      <c r="C1517" s="80">
        <v>2</v>
      </c>
      <c r="D1517" s="104">
        <v>0.0016658516417219283</v>
      </c>
      <c r="E1517" s="104">
        <v>1.6468858523245813</v>
      </c>
      <c r="F1517" s="80" t="s">
        <v>2187</v>
      </c>
      <c r="G1517" s="80" t="b">
        <v>0</v>
      </c>
      <c r="H1517" s="80" t="b">
        <v>0</v>
      </c>
      <c r="I1517" s="80" t="b">
        <v>0</v>
      </c>
      <c r="J1517" s="80" t="b">
        <v>0</v>
      </c>
      <c r="K1517" s="80" t="b">
        <v>0</v>
      </c>
      <c r="L1517" s="80" t="b">
        <v>0</v>
      </c>
    </row>
    <row r="1518" spans="1:12" ht="15">
      <c r="A1518" s="81" t="s">
        <v>2418</v>
      </c>
      <c r="B1518" s="80" t="s">
        <v>2262</v>
      </c>
      <c r="C1518" s="80">
        <v>2</v>
      </c>
      <c r="D1518" s="104">
        <v>0.0016658516417219283</v>
      </c>
      <c r="E1518" s="104">
        <v>1.3706794403856324</v>
      </c>
      <c r="F1518" s="80" t="s">
        <v>2187</v>
      </c>
      <c r="G1518" s="80" t="b">
        <v>0</v>
      </c>
      <c r="H1518" s="80" t="b">
        <v>0</v>
      </c>
      <c r="I1518" s="80" t="b">
        <v>0</v>
      </c>
      <c r="J1518" s="80" t="b">
        <v>0</v>
      </c>
      <c r="K1518" s="80" t="b">
        <v>0</v>
      </c>
      <c r="L1518" s="80" t="b">
        <v>0</v>
      </c>
    </row>
    <row r="1519" spans="1:12" ht="15">
      <c r="A1519" s="81" t="s">
        <v>2418</v>
      </c>
      <c r="B1519" s="80" t="s">
        <v>2643</v>
      </c>
      <c r="C1519" s="80">
        <v>2</v>
      </c>
      <c r="D1519" s="104">
        <v>0.0016658516417219283</v>
      </c>
      <c r="E1519" s="104">
        <v>1.999068370435944</v>
      </c>
      <c r="F1519" s="80" t="s">
        <v>2187</v>
      </c>
      <c r="G1519" s="80" t="b">
        <v>0</v>
      </c>
      <c r="H1519" s="80" t="b">
        <v>0</v>
      </c>
      <c r="I1519" s="80" t="b">
        <v>0</v>
      </c>
      <c r="J1519" s="80" t="b">
        <v>0</v>
      </c>
      <c r="K1519" s="80" t="b">
        <v>0</v>
      </c>
      <c r="L1519" s="80" t="b">
        <v>0</v>
      </c>
    </row>
    <row r="1520" spans="1:12" ht="15">
      <c r="A1520" s="81" t="s">
        <v>2965</v>
      </c>
      <c r="B1520" s="80" t="s">
        <v>2683</v>
      </c>
      <c r="C1520" s="80">
        <v>2</v>
      </c>
      <c r="D1520" s="104">
        <v>0.0016658516417219283</v>
      </c>
      <c r="E1520" s="104">
        <v>2.6680751513945196</v>
      </c>
      <c r="F1520" s="80" t="s">
        <v>2187</v>
      </c>
      <c r="G1520" s="80" t="b">
        <v>0</v>
      </c>
      <c r="H1520" s="80" t="b">
        <v>0</v>
      </c>
      <c r="I1520" s="80" t="b">
        <v>0</v>
      </c>
      <c r="J1520" s="80" t="b">
        <v>0</v>
      </c>
      <c r="K1520" s="80" t="b">
        <v>0</v>
      </c>
      <c r="L1520" s="80" t="b">
        <v>0</v>
      </c>
    </row>
    <row r="1521" spans="1:12" ht="15">
      <c r="A1521" s="81" t="s">
        <v>2215</v>
      </c>
      <c r="B1521" s="80" t="s">
        <v>2224</v>
      </c>
      <c r="C1521" s="80">
        <v>2</v>
      </c>
      <c r="D1521" s="104">
        <v>0.0012394635458805952</v>
      </c>
      <c r="E1521" s="104">
        <v>1.8441664104502007</v>
      </c>
      <c r="F1521" s="80" t="s">
        <v>2187</v>
      </c>
      <c r="G1521" s="80" t="b">
        <v>0</v>
      </c>
      <c r="H1521" s="80" t="b">
        <v>0</v>
      </c>
      <c r="I1521" s="80" t="b">
        <v>0</v>
      </c>
      <c r="J1521" s="80" t="b">
        <v>0</v>
      </c>
      <c r="K1521" s="80" t="b">
        <v>0</v>
      </c>
      <c r="L1521" s="80" t="b">
        <v>0</v>
      </c>
    </row>
    <row r="1522" spans="1:12" ht="15">
      <c r="A1522" s="81" t="s">
        <v>2255</v>
      </c>
      <c r="B1522" s="80" t="s">
        <v>2515</v>
      </c>
      <c r="C1522" s="80">
        <v>2</v>
      </c>
      <c r="D1522" s="104">
        <v>0.0016658516417219283</v>
      </c>
      <c r="E1522" s="104">
        <v>2.2421064191222384</v>
      </c>
      <c r="F1522" s="80" t="s">
        <v>2187</v>
      </c>
      <c r="G1522" s="80" t="b">
        <v>1</v>
      </c>
      <c r="H1522" s="80" t="b">
        <v>0</v>
      </c>
      <c r="I1522" s="80" t="b">
        <v>0</v>
      </c>
      <c r="J1522" s="80" t="b">
        <v>0</v>
      </c>
      <c r="K1522" s="80" t="b">
        <v>0</v>
      </c>
      <c r="L1522" s="80" t="b">
        <v>0</v>
      </c>
    </row>
    <row r="1523" spans="1:12" ht="15">
      <c r="A1523" s="81" t="s">
        <v>3262</v>
      </c>
      <c r="B1523" s="80" t="s">
        <v>2762</v>
      </c>
      <c r="C1523" s="80">
        <v>2</v>
      </c>
      <c r="D1523" s="104">
        <v>0.0016658516417219283</v>
      </c>
      <c r="E1523" s="104">
        <v>2.6680751513945196</v>
      </c>
      <c r="F1523" s="80" t="s">
        <v>2187</v>
      </c>
      <c r="G1523" s="80" t="b">
        <v>0</v>
      </c>
      <c r="H1523" s="80" t="b">
        <v>0</v>
      </c>
      <c r="I1523" s="80" t="b">
        <v>0</v>
      </c>
      <c r="J1523" s="80" t="b">
        <v>0</v>
      </c>
      <c r="K1523" s="80" t="b">
        <v>0</v>
      </c>
      <c r="L1523" s="80" t="b">
        <v>0</v>
      </c>
    </row>
    <row r="1524" spans="1:12" ht="15">
      <c r="A1524" s="81" t="s">
        <v>2418</v>
      </c>
      <c r="B1524" s="80" t="s">
        <v>2298</v>
      </c>
      <c r="C1524" s="80">
        <v>2</v>
      </c>
      <c r="D1524" s="104">
        <v>0.0016658516417219283</v>
      </c>
      <c r="E1524" s="104">
        <v>1.5597356766056811</v>
      </c>
      <c r="F1524" s="80" t="s">
        <v>2187</v>
      </c>
      <c r="G1524" s="80" t="b">
        <v>0</v>
      </c>
      <c r="H1524" s="80" t="b">
        <v>0</v>
      </c>
      <c r="I1524" s="80" t="b">
        <v>0</v>
      </c>
      <c r="J1524" s="80" t="b">
        <v>0</v>
      </c>
      <c r="K1524" s="80" t="b">
        <v>0</v>
      </c>
      <c r="L1524" s="80" t="b">
        <v>0</v>
      </c>
    </row>
    <row r="1525" spans="1:12" ht="15">
      <c r="A1525" s="81" t="s">
        <v>2222</v>
      </c>
      <c r="B1525" s="80" t="s">
        <v>2224</v>
      </c>
      <c r="C1525" s="80">
        <v>2</v>
      </c>
      <c r="D1525" s="104">
        <v>0.0012394635458805952</v>
      </c>
      <c r="E1525" s="104">
        <v>1.6980383747719627</v>
      </c>
      <c r="F1525" s="80" t="s">
        <v>2187</v>
      </c>
      <c r="G1525" s="80" t="b">
        <v>0</v>
      </c>
      <c r="H1525" s="80" t="b">
        <v>0</v>
      </c>
      <c r="I1525" s="80" t="b">
        <v>0</v>
      </c>
      <c r="J1525" s="80" t="b">
        <v>0</v>
      </c>
      <c r="K1525" s="80" t="b">
        <v>0</v>
      </c>
      <c r="L1525" s="80" t="b">
        <v>0</v>
      </c>
    </row>
    <row r="1526" spans="1:12" ht="15">
      <c r="A1526" s="81" t="s">
        <v>2229</v>
      </c>
      <c r="B1526" s="80" t="s">
        <v>2877</v>
      </c>
      <c r="C1526" s="80">
        <v>2</v>
      </c>
      <c r="D1526" s="104">
        <v>0.0016658516417219283</v>
      </c>
      <c r="E1526" s="104">
        <v>2.491983892338838</v>
      </c>
      <c r="F1526" s="80" t="s">
        <v>2187</v>
      </c>
      <c r="G1526" s="80" t="b">
        <v>0</v>
      </c>
      <c r="H1526" s="80" t="b">
        <v>0</v>
      </c>
      <c r="I1526" s="80" t="b">
        <v>0</v>
      </c>
      <c r="J1526" s="80" t="b">
        <v>0</v>
      </c>
      <c r="K1526" s="80" t="b">
        <v>0</v>
      </c>
      <c r="L1526" s="80" t="b">
        <v>0</v>
      </c>
    </row>
    <row r="1527" spans="1:12" ht="15">
      <c r="A1527" s="81" t="s">
        <v>2374</v>
      </c>
      <c r="B1527" s="80" t="s">
        <v>2604</v>
      </c>
      <c r="C1527" s="80">
        <v>2</v>
      </c>
      <c r="D1527" s="104">
        <v>0.0016658516417219283</v>
      </c>
      <c r="E1527" s="104">
        <v>2.2701351427224816</v>
      </c>
      <c r="F1527" s="80" t="s">
        <v>2187</v>
      </c>
      <c r="G1527" s="80" t="b">
        <v>0</v>
      </c>
      <c r="H1527" s="80" t="b">
        <v>0</v>
      </c>
      <c r="I1527" s="80" t="b">
        <v>0</v>
      </c>
      <c r="J1527" s="80" t="b">
        <v>0</v>
      </c>
      <c r="K1527" s="80" t="b">
        <v>0</v>
      </c>
      <c r="L1527" s="80" t="b">
        <v>0</v>
      </c>
    </row>
    <row r="1528" spans="1:12" ht="15">
      <c r="A1528" s="81" t="s">
        <v>2565</v>
      </c>
      <c r="B1528" s="80" t="s">
        <v>2262</v>
      </c>
      <c r="C1528" s="80">
        <v>2</v>
      </c>
      <c r="D1528" s="104">
        <v>0.0016658516417219283</v>
      </c>
      <c r="E1528" s="104">
        <v>1.6137174890719268</v>
      </c>
      <c r="F1528" s="80" t="s">
        <v>2187</v>
      </c>
      <c r="G1528" s="80" t="b">
        <v>0</v>
      </c>
      <c r="H1528" s="80" t="b">
        <v>0</v>
      </c>
      <c r="I1528" s="80" t="b">
        <v>0</v>
      </c>
      <c r="J1528" s="80" t="b">
        <v>0</v>
      </c>
      <c r="K1528" s="80" t="b">
        <v>0</v>
      </c>
      <c r="L1528" s="80" t="b">
        <v>0</v>
      </c>
    </row>
    <row r="1529" spans="1:12" ht="15">
      <c r="A1529" s="81" t="s">
        <v>3025</v>
      </c>
      <c r="B1529" s="80" t="s">
        <v>2319</v>
      </c>
      <c r="C1529" s="80">
        <v>2</v>
      </c>
      <c r="D1529" s="104">
        <v>0.0016658516417219283</v>
      </c>
      <c r="E1529" s="104">
        <v>2.190953896674857</v>
      </c>
      <c r="F1529" s="80" t="s">
        <v>2187</v>
      </c>
      <c r="G1529" s="80" t="b">
        <v>0</v>
      </c>
      <c r="H1529" s="80" t="b">
        <v>0</v>
      </c>
      <c r="I1529" s="80" t="b">
        <v>0</v>
      </c>
      <c r="J1529" s="80" t="b">
        <v>0</v>
      </c>
      <c r="K1529" s="80" t="b">
        <v>0</v>
      </c>
      <c r="L1529" s="80" t="b">
        <v>0</v>
      </c>
    </row>
    <row r="1530" spans="1:12" ht="15">
      <c r="A1530" s="81" t="s">
        <v>2251</v>
      </c>
      <c r="B1530" s="80" t="s">
        <v>2244</v>
      </c>
      <c r="C1530" s="80">
        <v>2</v>
      </c>
      <c r="D1530" s="104">
        <v>0.0016658516417219283</v>
      </c>
      <c r="E1530" s="104">
        <v>1.5431364147862194</v>
      </c>
      <c r="F1530" s="80" t="s">
        <v>2187</v>
      </c>
      <c r="G1530" s="80" t="b">
        <v>0</v>
      </c>
      <c r="H1530" s="80" t="b">
        <v>0</v>
      </c>
      <c r="I1530" s="80" t="b">
        <v>0</v>
      </c>
      <c r="J1530" s="80" t="b">
        <v>0</v>
      </c>
      <c r="K1530" s="80" t="b">
        <v>0</v>
      </c>
      <c r="L1530" s="80" t="b">
        <v>0</v>
      </c>
    </row>
    <row r="1531" spans="1:12" ht="15">
      <c r="A1531" s="81" t="s">
        <v>3014</v>
      </c>
      <c r="B1531" s="80" t="s">
        <v>3048</v>
      </c>
      <c r="C1531" s="80">
        <v>2</v>
      </c>
      <c r="D1531" s="104">
        <v>0.0016658516417219283</v>
      </c>
      <c r="E1531" s="104">
        <v>2.844166410450201</v>
      </c>
      <c r="F1531" s="80" t="s">
        <v>2187</v>
      </c>
      <c r="G1531" s="80" t="b">
        <v>0</v>
      </c>
      <c r="H1531" s="80" t="b">
        <v>0</v>
      </c>
      <c r="I1531" s="80" t="b">
        <v>0</v>
      </c>
      <c r="J1531" s="80" t="b">
        <v>0</v>
      </c>
      <c r="K1531" s="80" t="b">
        <v>0</v>
      </c>
      <c r="L1531" s="80" t="b">
        <v>0</v>
      </c>
    </row>
    <row r="1532" spans="1:12" ht="15">
      <c r="A1532" s="81" t="s">
        <v>2218</v>
      </c>
      <c r="B1532" s="80" t="s">
        <v>2218</v>
      </c>
      <c r="C1532" s="80">
        <v>2</v>
      </c>
      <c r="D1532" s="104">
        <v>0.0012394635458805952</v>
      </c>
      <c r="E1532" s="104">
        <v>2.0482863931061255</v>
      </c>
      <c r="F1532" s="80" t="s">
        <v>2187</v>
      </c>
      <c r="G1532" s="80" t="b">
        <v>0</v>
      </c>
      <c r="H1532" s="80" t="b">
        <v>0</v>
      </c>
      <c r="I1532" s="80" t="b">
        <v>0</v>
      </c>
      <c r="J1532" s="80" t="b">
        <v>0</v>
      </c>
      <c r="K1532" s="80" t="b">
        <v>0</v>
      </c>
      <c r="L1532" s="80" t="b">
        <v>0</v>
      </c>
    </row>
    <row r="1533" spans="1:12" ht="15">
      <c r="A1533" s="81" t="s">
        <v>3088</v>
      </c>
      <c r="B1533" s="80" t="s">
        <v>2388</v>
      </c>
      <c r="C1533" s="80">
        <v>2</v>
      </c>
      <c r="D1533" s="104">
        <v>0.0016658516417219283</v>
      </c>
      <c r="E1533" s="104">
        <v>2.2421064191222384</v>
      </c>
      <c r="F1533" s="80" t="s">
        <v>2187</v>
      </c>
      <c r="G1533" s="80" t="b">
        <v>0</v>
      </c>
      <c r="H1533" s="80" t="b">
        <v>0</v>
      </c>
      <c r="I1533" s="80" t="b">
        <v>0</v>
      </c>
      <c r="J1533" s="80" t="b">
        <v>0</v>
      </c>
      <c r="K1533" s="80" t="b">
        <v>0</v>
      </c>
      <c r="L1533" s="80" t="b">
        <v>0</v>
      </c>
    </row>
    <row r="1534" spans="1:12" ht="15">
      <c r="A1534" s="81" t="s">
        <v>2877</v>
      </c>
      <c r="B1534" s="80" t="s">
        <v>3333</v>
      </c>
      <c r="C1534" s="80">
        <v>2</v>
      </c>
      <c r="D1534" s="104">
        <v>0.0016658516417219283</v>
      </c>
      <c r="E1534" s="104">
        <v>2.6680751513945196</v>
      </c>
      <c r="F1534" s="80" t="s">
        <v>2187</v>
      </c>
      <c r="G1534" s="80" t="b">
        <v>0</v>
      </c>
      <c r="H1534" s="80" t="b">
        <v>0</v>
      </c>
      <c r="I1534" s="80" t="b">
        <v>0</v>
      </c>
      <c r="J1534" s="80" t="b">
        <v>0</v>
      </c>
      <c r="K1534" s="80" t="b">
        <v>0</v>
      </c>
      <c r="L1534" s="80" t="b">
        <v>0</v>
      </c>
    </row>
    <row r="1535" spans="1:12" ht="15">
      <c r="A1535" s="81" t="s">
        <v>2426</v>
      </c>
      <c r="B1535" s="80" t="s">
        <v>2251</v>
      </c>
      <c r="C1535" s="80">
        <v>2</v>
      </c>
      <c r="D1535" s="104">
        <v>0.0016658516417219283</v>
      </c>
      <c r="E1535" s="104">
        <v>2.446226401778163</v>
      </c>
      <c r="F1535" s="80" t="s">
        <v>2187</v>
      </c>
      <c r="G1535" s="80" t="b">
        <v>0</v>
      </c>
      <c r="H1535" s="80" t="b">
        <v>0</v>
      </c>
      <c r="I1535" s="80" t="b">
        <v>0</v>
      </c>
      <c r="J1535" s="80" t="b">
        <v>0</v>
      </c>
      <c r="K1535" s="80" t="b">
        <v>0</v>
      </c>
      <c r="L1535" s="80" t="b">
        <v>0</v>
      </c>
    </row>
    <row r="1536" spans="1:12" ht="15">
      <c r="A1536" s="81" t="s">
        <v>2436</v>
      </c>
      <c r="B1536" s="80" t="s">
        <v>2335</v>
      </c>
      <c r="C1536" s="80">
        <v>2</v>
      </c>
      <c r="D1536" s="104">
        <v>0.0012394635458805952</v>
      </c>
      <c r="E1536" s="104">
        <v>2.1451964061141817</v>
      </c>
      <c r="F1536" s="80" t="s">
        <v>2187</v>
      </c>
      <c r="G1536" s="80" t="b">
        <v>0</v>
      </c>
      <c r="H1536" s="80" t="b">
        <v>0</v>
      </c>
      <c r="I1536" s="80" t="b">
        <v>0</v>
      </c>
      <c r="J1536" s="80" t="b">
        <v>0</v>
      </c>
      <c r="K1536" s="80" t="b">
        <v>0</v>
      </c>
      <c r="L1536" s="80" t="b">
        <v>0</v>
      </c>
    </row>
    <row r="1537" spans="1:12" ht="15">
      <c r="A1537" s="81" t="s">
        <v>2244</v>
      </c>
      <c r="B1537" s="80" t="s">
        <v>3056</v>
      </c>
      <c r="C1537" s="80">
        <v>2</v>
      </c>
      <c r="D1537" s="104">
        <v>0.0016658516417219283</v>
      </c>
      <c r="E1537" s="104">
        <v>1.9410764234582571</v>
      </c>
      <c r="F1537" s="80" t="s">
        <v>2187</v>
      </c>
      <c r="G1537" s="80" t="b">
        <v>0</v>
      </c>
      <c r="H1537" s="80" t="b">
        <v>0</v>
      </c>
      <c r="I1537" s="80" t="b">
        <v>0</v>
      </c>
      <c r="J1537" s="80" t="b">
        <v>0</v>
      </c>
      <c r="K1537" s="80" t="b">
        <v>0</v>
      </c>
      <c r="L1537" s="80" t="b">
        <v>0</v>
      </c>
    </row>
    <row r="1538" spans="1:12" ht="15">
      <c r="A1538" s="81" t="s">
        <v>2261</v>
      </c>
      <c r="B1538" s="80" t="s">
        <v>2236</v>
      </c>
      <c r="C1538" s="80">
        <v>2</v>
      </c>
      <c r="D1538" s="104">
        <v>0.0012394635458805952</v>
      </c>
      <c r="E1538" s="104">
        <v>2.844166410450201</v>
      </c>
      <c r="F1538" s="80" t="s">
        <v>2187</v>
      </c>
      <c r="G1538" s="80" t="b">
        <v>1</v>
      </c>
      <c r="H1538" s="80" t="b">
        <v>0</v>
      </c>
      <c r="I1538" s="80" t="b">
        <v>0</v>
      </c>
      <c r="J1538" s="80" t="b">
        <v>0</v>
      </c>
      <c r="K1538" s="80" t="b">
        <v>0</v>
      </c>
      <c r="L1538" s="80" t="b">
        <v>0</v>
      </c>
    </row>
    <row r="1539" spans="1:12" ht="15">
      <c r="A1539" s="81" t="s">
        <v>2667</v>
      </c>
      <c r="B1539" s="80" t="s">
        <v>2441</v>
      </c>
      <c r="C1539" s="80">
        <v>2</v>
      </c>
      <c r="D1539" s="104">
        <v>0.0012394635458805952</v>
      </c>
      <c r="E1539" s="104">
        <v>2.066015160066557</v>
      </c>
      <c r="F1539" s="80" t="s">
        <v>2187</v>
      </c>
      <c r="G1539" s="80" t="b">
        <v>0</v>
      </c>
      <c r="H1539" s="80" t="b">
        <v>0</v>
      </c>
      <c r="I1539" s="80" t="b">
        <v>0</v>
      </c>
      <c r="J1539" s="80" t="b">
        <v>0</v>
      </c>
      <c r="K1539" s="80" t="b">
        <v>0</v>
      </c>
      <c r="L1539" s="80" t="b">
        <v>0</v>
      </c>
    </row>
    <row r="1540" spans="1:12" ht="15">
      <c r="A1540" s="81" t="s">
        <v>2750</v>
      </c>
      <c r="B1540" s="80" t="s">
        <v>2830</v>
      </c>
      <c r="C1540" s="80">
        <v>2</v>
      </c>
      <c r="D1540" s="104">
        <v>0.0016658516417219283</v>
      </c>
      <c r="E1540" s="104">
        <v>2.491983892338838</v>
      </c>
      <c r="F1540" s="80" t="s">
        <v>2187</v>
      </c>
      <c r="G1540" s="80" t="b">
        <v>0</v>
      </c>
      <c r="H1540" s="80" t="b">
        <v>0</v>
      </c>
      <c r="I1540" s="80" t="b">
        <v>0</v>
      </c>
      <c r="J1540" s="80" t="b">
        <v>0</v>
      </c>
      <c r="K1540" s="80" t="b">
        <v>0</v>
      </c>
      <c r="L1540" s="80" t="b">
        <v>0</v>
      </c>
    </row>
    <row r="1541" spans="1:12" ht="15">
      <c r="A1541" s="81" t="s">
        <v>2220</v>
      </c>
      <c r="B1541" s="80" t="s">
        <v>3311</v>
      </c>
      <c r="C1541" s="80">
        <v>2</v>
      </c>
      <c r="D1541" s="104">
        <v>0.0016658516417219283</v>
      </c>
      <c r="E1541" s="104">
        <v>1.8229771113802626</v>
      </c>
      <c r="F1541" s="80" t="s">
        <v>2187</v>
      </c>
      <c r="G1541" s="80" t="b">
        <v>0</v>
      </c>
      <c r="H1541" s="80" t="b">
        <v>0</v>
      </c>
      <c r="I1541" s="80" t="b">
        <v>0</v>
      </c>
      <c r="J1541" s="80" t="b">
        <v>0</v>
      </c>
      <c r="K1541" s="80" t="b">
        <v>0</v>
      </c>
      <c r="L1541" s="80" t="b">
        <v>0</v>
      </c>
    </row>
    <row r="1542" spans="1:12" ht="15">
      <c r="A1542" s="81" t="s">
        <v>2604</v>
      </c>
      <c r="B1542" s="80" t="s">
        <v>3214</v>
      </c>
      <c r="C1542" s="80">
        <v>2</v>
      </c>
      <c r="D1542" s="104">
        <v>0.0016658516417219283</v>
      </c>
      <c r="E1542" s="104">
        <v>2.6680751513945196</v>
      </c>
      <c r="F1542" s="80" t="s">
        <v>2187</v>
      </c>
      <c r="G1542" s="80" t="b">
        <v>0</v>
      </c>
      <c r="H1542" s="80" t="b">
        <v>0</v>
      </c>
      <c r="I1542" s="80" t="b">
        <v>0</v>
      </c>
      <c r="J1542" s="80" t="b">
        <v>0</v>
      </c>
      <c r="K1542" s="80" t="b">
        <v>0</v>
      </c>
      <c r="L1542" s="80" t="b">
        <v>0</v>
      </c>
    </row>
    <row r="1543" spans="1:12" ht="15">
      <c r="A1543" s="81" t="s">
        <v>3214</v>
      </c>
      <c r="B1543" s="80" t="s">
        <v>2318</v>
      </c>
      <c r="C1543" s="80">
        <v>2</v>
      </c>
      <c r="D1543" s="104">
        <v>0.0016658516417219283</v>
      </c>
      <c r="E1543" s="104">
        <v>2.6680751513945196</v>
      </c>
      <c r="F1543" s="80" t="s">
        <v>2187</v>
      </c>
      <c r="G1543" s="80" t="b">
        <v>0</v>
      </c>
      <c r="H1543" s="80" t="b">
        <v>0</v>
      </c>
      <c r="I1543" s="80" t="b">
        <v>0</v>
      </c>
      <c r="J1543" s="80" t="b">
        <v>0</v>
      </c>
      <c r="K1543" s="80" t="b">
        <v>0</v>
      </c>
      <c r="L1543" s="80" t="b">
        <v>0</v>
      </c>
    </row>
    <row r="1544" spans="1:12" ht="15">
      <c r="A1544" s="81" t="s">
        <v>2243</v>
      </c>
      <c r="B1544" s="80" t="s">
        <v>3180</v>
      </c>
      <c r="C1544" s="80">
        <v>2</v>
      </c>
      <c r="D1544" s="104">
        <v>0.0016658516417219283</v>
      </c>
      <c r="E1544" s="104">
        <v>2.844166410450201</v>
      </c>
      <c r="F1544" s="80" t="s">
        <v>2187</v>
      </c>
      <c r="G1544" s="80" t="b">
        <v>0</v>
      </c>
      <c r="H1544" s="80" t="b">
        <v>0</v>
      </c>
      <c r="I1544" s="80" t="b">
        <v>0</v>
      </c>
      <c r="J1544" s="80" t="b">
        <v>0</v>
      </c>
      <c r="K1544" s="80" t="b">
        <v>0</v>
      </c>
      <c r="L1544" s="80" t="b">
        <v>0</v>
      </c>
    </row>
    <row r="1545" spans="1:12" ht="15">
      <c r="A1545" s="81" t="s">
        <v>2565</v>
      </c>
      <c r="B1545" s="80" t="s">
        <v>2298</v>
      </c>
      <c r="C1545" s="80">
        <v>2</v>
      </c>
      <c r="D1545" s="104">
        <v>0.0016658516417219283</v>
      </c>
      <c r="E1545" s="104">
        <v>1.8027737252919758</v>
      </c>
      <c r="F1545" s="80" t="s">
        <v>2187</v>
      </c>
      <c r="G1545" s="80" t="b">
        <v>0</v>
      </c>
      <c r="H1545" s="80" t="b">
        <v>0</v>
      </c>
      <c r="I1545" s="80" t="b">
        <v>0</v>
      </c>
      <c r="J1545" s="80" t="b">
        <v>0</v>
      </c>
      <c r="K1545" s="80" t="b">
        <v>0</v>
      </c>
      <c r="L1545" s="80" t="b">
        <v>0</v>
      </c>
    </row>
    <row r="1546" spans="1:12" ht="15">
      <c r="A1546" s="81" t="s">
        <v>2315</v>
      </c>
      <c r="B1546" s="80" t="s">
        <v>2302</v>
      </c>
      <c r="C1546" s="80">
        <v>2</v>
      </c>
      <c r="D1546" s="104">
        <v>0.0012394635458805952</v>
      </c>
      <c r="E1546" s="104">
        <v>2.844166410450201</v>
      </c>
      <c r="F1546" s="80" t="s">
        <v>2187</v>
      </c>
      <c r="G1546" s="80" t="b">
        <v>0</v>
      </c>
      <c r="H1546" s="80" t="b">
        <v>0</v>
      </c>
      <c r="I1546" s="80" t="b">
        <v>0</v>
      </c>
      <c r="J1546" s="80" t="b">
        <v>0</v>
      </c>
      <c r="K1546" s="80" t="b">
        <v>0</v>
      </c>
      <c r="L1546" s="80" t="b">
        <v>0</v>
      </c>
    </row>
    <row r="1547" spans="1:12" ht="15">
      <c r="A1547" s="81" t="s">
        <v>2481</v>
      </c>
      <c r="B1547" s="80" t="s">
        <v>2349</v>
      </c>
      <c r="C1547" s="80">
        <v>2</v>
      </c>
      <c r="D1547" s="104">
        <v>0.0016658516417219283</v>
      </c>
      <c r="E1547" s="104">
        <v>2.3670451557305383</v>
      </c>
      <c r="F1547" s="80" t="s">
        <v>2187</v>
      </c>
      <c r="G1547" s="80" t="b">
        <v>0</v>
      </c>
      <c r="H1547" s="80" t="b">
        <v>0</v>
      </c>
      <c r="I1547" s="80" t="b">
        <v>0</v>
      </c>
      <c r="J1547" s="80" t="b">
        <v>0</v>
      </c>
      <c r="K1547" s="80" t="b">
        <v>0</v>
      </c>
      <c r="L1547" s="80" t="b">
        <v>0</v>
      </c>
    </row>
    <row r="1548" spans="1:12" ht="15">
      <c r="A1548" s="81" t="s">
        <v>2220</v>
      </c>
      <c r="B1548" s="80" t="s">
        <v>3072</v>
      </c>
      <c r="C1548" s="80">
        <v>2</v>
      </c>
      <c r="D1548" s="104">
        <v>0.0016658516417219283</v>
      </c>
      <c r="E1548" s="104">
        <v>1.8229771113802626</v>
      </c>
      <c r="F1548" s="80" t="s">
        <v>2187</v>
      </c>
      <c r="G1548" s="80" t="b">
        <v>0</v>
      </c>
      <c r="H1548" s="80" t="b">
        <v>0</v>
      </c>
      <c r="I1548" s="80" t="b">
        <v>0</v>
      </c>
      <c r="J1548" s="80" t="b">
        <v>0</v>
      </c>
      <c r="K1548" s="80" t="b">
        <v>0</v>
      </c>
      <c r="L1548" s="80" t="b">
        <v>0</v>
      </c>
    </row>
    <row r="1549" spans="1:12" ht="15">
      <c r="A1549" s="81" t="s">
        <v>3009</v>
      </c>
      <c r="B1549" s="80" t="s">
        <v>2227</v>
      </c>
      <c r="C1549" s="80">
        <v>2</v>
      </c>
      <c r="D1549" s="104">
        <v>0.0012394635458805952</v>
      </c>
      <c r="E1549" s="104">
        <v>1.5117279505345955</v>
      </c>
      <c r="F1549" s="80" t="s">
        <v>2187</v>
      </c>
      <c r="G1549" s="80" t="b">
        <v>0</v>
      </c>
      <c r="H1549" s="80" t="b">
        <v>0</v>
      </c>
      <c r="I1549" s="80" t="b">
        <v>0</v>
      </c>
      <c r="J1549" s="80" t="b">
        <v>0</v>
      </c>
      <c r="K1549" s="80" t="b">
        <v>0</v>
      </c>
      <c r="L1549" s="80" t="b">
        <v>0</v>
      </c>
    </row>
    <row r="1550" spans="1:12" ht="15">
      <c r="A1550" s="81" t="s">
        <v>2552</v>
      </c>
      <c r="B1550" s="80" t="s">
        <v>2588</v>
      </c>
      <c r="C1550" s="80">
        <v>2</v>
      </c>
      <c r="D1550" s="104">
        <v>0.0016658516417219283</v>
      </c>
      <c r="E1550" s="104">
        <v>2.2701351427224816</v>
      </c>
      <c r="F1550" s="80" t="s">
        <v>2187</v>
      </c>
      <c r="G1550" s="80" t="b">
        <v>0</v>
      </c>
      <c r="H1550" s="80" t="b">
        <v>0</v>
      </c>
      <c r="I1550" s="80" t="b">
        <v>0</v>
      </c>
      <c r="J1550" s="80" t="b">
        <v>0</v>
      </c>
      <c r="K1550" s="80" t="b">
        <v>0</v>
      </c>
      <c r="L1550" s="80" t="b">
        <v>0</v>
      </c>
    </row>
    <row r="1551" spans="1:12" ht="15">
      <c r="A1551" s="81" t="s">
        <v>2503</v>
      </c>
      <c r="B1551" s="80" t="s">
        <v>2227</v>
      </c>
      <c r="C1551" s="80">
        <v>2</v>
      </c>
      <c r="D1551" s="104">
        <v>0.0016658516417219283</v>
      </c>
      <c r="E1551" s="104">
        <v>1.1137879418625578</v>
      </c>
      <c r="F1551" s="80" t="s">
        <v>2187</v>
      </c>
      <c r="G1551" s="80" t="b">
        <v>0</v>
      </c>
      <c r="H1551" s="80" t="b">
        <v>0</v>
      </c>
      <c r="I1551" s="80" t="b">
        <v>0</v>
      </c>
      <c r="J1551" s="80" t="b">
        <v>0</v>
      </c>
      <c r="K1551" s="80" t="b">
        <v>0</v>
      </c>
      <c r="L1551" s="80" t="b">
        <v>0</v>
      </c>
    </row>
    <row r="1552" spans="1:12" ht="15">
      <c r="A1552" s="81" t="s">
        <v>2887</v>
      </c>
      <c r="B1552" s="80" t="s">
        <v>2217</v>
      </c>
      <c r="C1552" s="80">
        <v>2</v>
      </c>
      <c r="D1552" s="104">
        <v>0.0016658516417219283</v>
      </c>
      <c r="E1552" s="104">
        <v>2.6680751513945196</v>
      </c>
      <c r="F1552" s="80" t="s">
        <v>2187</v>
      </c>
      <c r="G1552" s="80" t="b">
        <v>0</v>
      </c>
      <c r="H1552" s="80" t="b">
        <v>0</v>
      </c>
      <c r="I1552" s="80" t="b">
        <v>0</v>
      </c>
      <c r="J1552" s="80" t="b">
        <v>0</v>
      </c>
      <c r="K1552" s="80" t="b">
        <v>0</v>
      </c>
      <c r="L1552" s="80" t="b">
        <v>0</v>
      </c>
    </row>
    <row r="1553" spans="1:12" ht="15">
      <c r="A1553" s="81" t="s">
        <v>3285</v>
      </c>
      <c r="B1553" s="80" t="s">
        <v>2213</v>
      </c>
      <c r="C1553" s="80">
        <v>2</v>
      </c>
      <c r="D1553" s="104">
        <v>0.0016658516417219283</v>
      </c>
      <c r="E1553" s="104">
        <v>2.190953896674857</v>
      </c>
      <c r="F1553" s="80" t="s">
        <v>2187</v>
      </c>
      <c r="G1553" s="80" t="b">
        <v>0</v>
      </c>
      <c r="H1553" s="80" t="b">
        <v>0</v>
      </c>
      <c r="I1553" s="80" t="b">
        <v>0</v>
      </c>
      <c r="J1553" s="80" t="b">
        <v>0</v>
      </c>
      <c r="K1553" s="80" t="b">
        <v>0</v>
      </c>
      <c r="L1553" s="80" t="b">
        <v>0</v>
      </c>
    </row>
    <row r="1554" spans="1:12" ht="15">
      <c r="A1554" s="81" t="s">
        <v>2335</v>
      </c>
      <c r="B1554" s="80" t="s">
        <v>2227</v>
      </c>
      <c r="C1554" s="80">
        <v>2</v>
      </c>
      <c r="D1554" s="104">
        <v>0.0016658516417219283</v>
      </c>
      <c r="E1554" s="104">
        <v>1.2106979548706143</v>
      </c>
      <c r="F1554" s="80" t="s">
        <v>2187</v>
      </c>
      <c r="G1554" s="80" t="b">
        <v>0</v>
      </c>
      <c r="H1554" s="80" t="b">
        <v>0</v>
      </c>
      <c r="I1554" s="80" t="b">
        <v>0</v>
      </c>
      <c r="J1554" s="80" t="b">
        <v>0</v>
      </c>
      <c r="K1554" s="80" t="b">
        <v>0</v>
      </c>
      <c r="L1554" s="80" t="b">
        <v>0</v>
      </c>
    </row>
    <row r="1555" spans="1:12" ht="15">
      <c r="A1555" s="81" t="s">
        <v>2319</v>
      </c>
      <c r="B1555" s="80" t="s">
        <v>2262</v>
      </c>
      <c r="C1555" s="80">
        <v>2</v>
      </c>
      <c r="D1555" s="104">
        <v>0.0016658516417219283</v>
      </c>
      <c r="E1555" s="104">
        <v>1.261534970960564</v>
      </c>
      <c r="F1555" s="80" t="s">
        <v>2187</v>
      </c>
      <c r="G1555" s="80" t="b">
        <v>0</v>
      </c>
      <c r="H1555" s="80" t="b">
        <v>0</v>
      </c>
      <c r="I1555" s="80" t="b">
        <v>0</v>
      </c>
      <c r="J1555" s="80" t="b">
        <v>0</v>
      </c>
      <c r="K1555" s="80" t="b">
        <v>0</v>
      </c>
      <c r="L1555" s="80" t="b">
        <v>0</v>
      </c>
    </row>
    <row r="1556" spans="1:12" ht="15">
      <c r="A1556" s="81" t="s">
        <v>2318</v>
      </c>
      <c r="B1556" s="80" t="s">
        <v>2265</v>
      </c>
      <c r="C1556" s="80">
        <v>2</v>
      </c>
      <c r="D1556" s="104">
        <v>0.0016658516417219283</v>
      </c>
      <c r="E1556" s="104">
        <v>2.6680751513945196</v>
      </c>
      <c r="F1556" s="80" t="s">
        <v>2187</v>
      </c>
      <c r="G1556" s="80" t="b">
        <v>0</v>
      </c>
      <c r="H1556" s="80" t="b">
        <v>0</v>
      </c>
      <c r="I1556" s="80" t="b">
        <v>0</v>
      </c>
      <c r="J1556" s="80" t="b">
        <v>0</v>
      </c>
      <c r="K1556" s="80" t="b">
        <v>0</v>
      </c>
      <c r="L1556" s="80" t="b">
        <v>0</v>
      </c>
    </row>
    <row r="1557" spans="1:12" ht="15">
      <c r="A1557" s="81" t="s">
        <v>2570</v>
      </c>
      <c r="B1557" s="80" t="s">
        <v>2230</v>
      </c>
      <c r="C1557" s="80">
        <v>2</v>
      </c>
      <c r="D1557" s="104">
        <v>0.0016658516417219283</v>
      </c>
      <c r="E1557" s="104">
        <v>2.1451964061141817</v>
      </c>
      <c r="F1557" s="80" t="s">
        <v>2187</v>
      </c>
      <c r="G1557" s="80" t="b">
        <v>0</v>
      </c>
      <c r="H1557" s="80" t="b">
        <v>0</v>
      </c>
      <c r="I1557" s="80" t="b">
        <v>0</v>
      </c>
      <c r="J1557" s="80" t="b">
        <v>0</v>
      </c>
      <c r="K1557" s="80" t="b">
        <v>0</v>
      </c>
      <c r="L1557" s="80" t="b">
        <v>0</v>
      </c>
    </row>
    <row r="1558" spans="1:12" ht="15">
      <c r="A1558" s="81" t="s">
        <v>2413</v>
      </c>
      <c r="B1558" s="80" t="s">
        <v>2426</v>
      </c>
      <c r="C1558" s="80">
        <v>2</v>
      </c>
      <c r="D1558" s="104">
        <v>0.0016658516417219283</v>
      </c>
      <c r="E1558" s="104">
        <v>2.3670451557305383</v>
      </c>
      <c r="F1558" s="80" t="s">
        <v>2187</v>
      </c>
      <c r="G1558" s="80" t="b">
        <v>0</v>
      </c>
      <c r="H1558" s="80" t="b">
        <v>0</v>
      </c>
      <c r="I1558" s="80" t="b">
        <v>0</v>
      </c>
      <c r="J1558" s="80" t="b">
        <v>0</v>
      </c>
      <c r="K1558" s="80" t="b">
        <v>0</v>
      </c>
      <c r="L1558" s="80" t="b">
        <v>0</v>
      </c>
    </row>
    <row r="1559" spans="1:12" ht="15">
      <c r="A1559" s="81" t="s">
        <v>3059</v>
      </c>
      <c r="B1559" s="80" t="s">
        <v>2238</v>
      </c>
      <c r="C1559" s="80">
        <v>2</v>
      </c>
      <c r="D1559" s="104">
        <v>0.0016658516417219283</v>
      </c>
      <c r="E1559" s="104">
        <v>2.6680751513945196</v>
      </c>
      <c r="F1559" s="80" t="s">
        <v>2187</v>
      </c>
      <c r="G1559" s="80" t="b">
        <v>0</v>
      </c>
      <c r="H1559" s="80" t="b">
        <v>0</v>
      </c>
      <c r="I1559" s="80" t="b">
        <v>0</v>
      </c>
      <c r="J1559" s="80" t="b">
        <v>0</v>
      </c>
      <c r="K1559" s="80" t="b">
        <v>0</v>
      </c>
      <c r="L1559" s="80" t="b">
        <v>0</v>
      </c>
    </row>
    <row r="1560" spans="1:12" ht="15">
      <c r="A1560" s="81" t="s">
        <v>2222</v>
      </c>
      <c r="B1560" s="80" t="s">
        <v>2225</v>
      </c>
      <c r="C1560" s="80">
        <v>2</v>
      </c>
      <c r="D1560" s="104">
        <v>0.0012394635458805952</v>
      </c>
      <c r="E1560" s="104">
        <v>1.6980383747719627</v>
      </c>
      <c r="F1560" s="80" t="s">
        <v>2187</v>
      </c>
      <c r="G1560" s="80" t="b">
        <v>0</v>
      </c>
      <c r="H1560" s="80" t="b">
        <v>0</v>
      </c>
      <c r="I1560" s="80" t="b">
        <v>0</v>
      </c>
      <c r="J1560" s="80" t="b">
        <v>0</v>
      </c>
      <c r="K1560" s="80" t="b">
        <v>0</v>
      </c>
      <c r="L1560" s="80" t="b">
        <v>0</v>
      </c>
    </row>
    <row r="1561" spans="1:12" ht="15">
      <c r="A1561" s="81" t="s">
        <v>2503</v>
      </c>
      <c r="B1561" s="80" t="s">
        <v>2319</v>
      </c>
      <c r="C1561" s="80">
        <v>2</v>
      </c>
      <c r="D1561" s="104">
        <v>0.0016658516417219283</v>
      </c>
      <c r="E1561" s="104">
        <v>1.7930138880028192</v>
      </c>
      <c r="F1561" s="80" t="s">
        <v>2187</v>
      </c>
      <c r="G1561" s="80" t="b">
        <v>0</v>
      </c>
      <c r="H1561" s="80" t="b">
        <v>0</v>
      </c>
      <c r="I1561" s="80" t="b">
        <v>0</v>
      </c>
      <c r="J1561" s="80" t="b">
        <v>0</v>
      </c>
      <c r="K1561" s="80" t="b">
        <v>0</v>
      </c>
      <c r="L1561" s="80" t="b">
        <v>0</v>
      </c>
    </row>
    <row r="1562" spans="1:12" ht="15">
      <c r="A1562" s="81" t="s">
        <v>3085</v>
      </c>
      <c r="B1562" s="80" t="s">
        <v>3098</v>
      </c>
      <c r="C1562" s="80">
        <v>2</v>
      </c>
      <c r="D1562" s="104">
        <v>0.0016658516417219283</v>
      </c>
      <c r="E1562" s="104">
        <v>2.844166410450201</v>
      </c>
      <c r="F1562" s="80" t="s">
        <v>2187</v>
      </c>
      <c r="G1562" s="80" t="b">
        <v>0</v>
      </c>
      <c r="H1562" s="80" t="b">
        <v>0</v>
      </c>
      <c r="I1562" s="80" t="b">
        <v>0</v>
      </c>
      <c r="J1562" s="80" t="b">
        <v>0</v>
      </c>
      <c r="K1562" s="80" t="b">
        <v>0</v>
      </c>
      <c r="L1562" s="80" t="b">
        <v>0</v>
      </c>
    </row>
    <row r="1563" spans="1:12" ht="15">
      <c r="A1563" s="81" t="s">
        <v>2224</v>
      </c>
      <c r="B1563" s="80" t="s">
        <v>2222</v>
      </c>
      <c r="C1563" s="80">
        <v>2</v>
      </c>
      <c r="D1563" s="104">
        <v>0.0012394635458805952</v>
      </c>
      <c r="E1563" s="104">
        <v>1.640046427794276</v>
      </c>
      <c r="F1563" s="80" t="s">
        <v>2187</v>
      </c>
      <c r="G1563" s="80" t="b">
        <v>0</v>
      </c>
      <c r="H1563" s="80" t="b">
        <v>0</v>
      </c>
      <c r="I1563" s="80" t="b">
        <v>0</v>
      </c>
      <c r="J1563" s="80" t="b">
        <v>0</v>
      </c>
      <c r="K1563" s="80" t="b">
        <v>0</v>
      </c>
      <c r="L1563" s="80" t="b">
        <v>0</v>
      </c>
    </row>
    <row r="1564" spans="1:12" ht="15">
      <c r="A1564" s="81" t="s">
        <v>2213</v>
      </c>
      <c r="B1564" s="80" t="s">
        <v>2214</v>
      </c>
      <c r="C1564" s="80">
        <v>15</v>
      </c>
      <c r="D1564" s="104">
        <v>0</v>
      </c>
      <c r="E1564" s="104">
        <v>1.7023629472333581</v>
      </c>
      <c r="F1564" s="80" t="s">
        <v>2188</v>
      </c>
      <c r="G1564" s="80" t="b">
        <v>0</v>
      </c>
      <c r="H1564" s="80" t="b">
        <v>0</v>
      </c>
      <c r="I1564" s="80" t="b">
        <v>0</v>
      </c>
      <c r="J1564" s="80" t="b">
        <v>0</v>
      </c>
      <c r="K1564" s="80" t="b">
        <v>0</v>
      </c>
      <c r="L1564" s="80" t="b">
        <v>0</v>
      </c>
    </row>
    <row r="1565" spans="1:12" ht="15">
      <c r="A1565" s="81" t="s">
        <v>2348</v>
      </c>
      <c r="B1565" s="80" t="s">
        <v>2340</v>
      </c>
      <c r="C1565" s="80">
        <v>6</v>
      </c>
      <c r="D1565" s="104">
        <v>0.0046853795771922505</v>
      </c>
      <c r="E1565" s="104">
        <v>1.7901443650429005</v>
      </c>
      <c r="F1565" s="80" t="s">
        <v>2188</v>
      </c>
      <c r="G1565" s="80" t="b">
        <v>0</v>
      </c>
      <c r="H1565" s="80" t="b">
        <v>0</v>
      </c>
      <c r="I1565" s="80" t="b">
        <v>0</v>
      </c>
      <c r="J1565" s="80" t="b">
        <v>0</v>
      </c>
      <c r="K1565" s="80" t="b">
        <v>0</v>
      </c>
      <c r="L1565" s="80" t="b">
        <v>0</v>
      </c>
    </row>
    <row r="1566" spans="1:12" ht="15">
      <c r="A1566" s="81" t="s">
        <v>2234</v>
      </c>
      <c r="B1566" s="80" t="s">
        <v>2226</v>
      </c>
      <c r="C1566" s="80">
        <v>4</v>
      </c>
      <c r="D1566" s="104">
        <v>0.0019668909163453384</v>
      </c>
      <c r="E1566" s="104">
        <v>2.4099331233312946</v>
      </c>
      <c r="F1566" s="80" t="s">
        <v>2188</v>
      </c>
      <c r="G1566" s="80" t="b">
        <v>0</v>
      </c>
      <c r="H1566" s="80" t="b">
        <v>0</v>
      </c>
      <c r="I1566" s="80" t="b">
        <v>0</v>
      </c>
      <c r="J1566" s="80" t="b">
        <v>0</v>
      </c>
      <c r="K1566" s="80" t="b">
        <v>0</v>
      </c>
      <c r="L1566" s="80" t="b">
        <v>0</v>
      </c>
    </row>
    <row r="1567" spans="1:12" ht="15">
      <c r="A1567" s="81" t="s">
        <v>2259</v>
      </c>
      <c r="B1567" s="80" t="s">
        <v>2326</v>
      </c>
      <c r="C1567" s="80">
        <v>4</v>
      </c>
      <c r="D1567" s="104">
        <v>0.003123586384794834</v>
      </c>
      <c r="E1567" s="104">
        <v>1.3422114994507204</v>
      </c>
      <c r="F1567" s="80" t="s">
        <v>2188</v>
      </c>
      <c r="G1567" s="80" t="b">
        <v>0</v>
      </c>
      <c r="H1567" s="80" t="b">
        <v>0</v>
      </c>
      <c r="I1567" s="80" t="b">
        <v>0</v>
      </c>
      <c r="J1567" s="80" t="b">
        <v>0</v>
      </c>
      <c r="K1567" s="80" t="b">
        <v>0</v>
      </c>
      <c r="L1567" s="80" t="b">
        <v>0</v>
      </c>
    </row>
    <row r="1568" spans="1:12" ht="15">
      <c r="A1568" s="81" t="s">
        <v>2623</v>
      </c>
      <c r="B1568" s="80" t="s">
        <v>2505</v>
      </c>
      <c r="C1568" s="80">
        <v>4</v>
      </c>
      <c r="D1568" s="104">
        <v>0.003123586384794834</v>
      </c>
      <c r="E1568" s="104">
        <v>2.4099331233312946</v>
      </c>
      <c r="F1568" s="80" t="s">
        <v>2188</v>
      </c>
      <c r="G1568" s="80" t="b">
        <v>0</v>
      </c>
      <c r="H1568" s="80" t="b">
        <v>0</v>
      </c>
      <c r="I1568" s="80" t="b">
        <v>0</v>
      </c>
      <c r="J1568" s="80" t="b">
        <v>0</v>
      </c>
      <c r="K1568" s="80" t="b">
        <v>0</v>
      </c>
      <c r="L1568" s="80" t="b">
        <v>0</v>
      </c>
    </row>
    <row r="1569" spans="1:12" ht="15">
      <c r="A1569" s="81" t="s">
        <v>2250</v>
      </c>
      <c r="B1569" s="80" t="s">
        <v>2232</v>
      </c>
      <c r="C1569" s="80">
        <v>4</v>
      </c>
      <c r="D1569" s="104">
        <v>0.0019668909163453384</v>
      </c>
      <c r="E1569" s="104">
        <v>2.166895074645</v>
      </c>
      <c r="F1569" s="80" t="s">
        <v>2188</v>
      </c>
      <c r="G1569" s="80" t="b">
        <v>0</v>
      </c>
      <c r="H1569" s="80" t="b">
        <v>0</v>
      </c>
      <c r="I1569" s="80" t="b">
        <v>0</v>
      </c>
      <c r="J1569" s="80" t="b">
        <v>0</v>
      </c>
      <c r="K1569" s="80" t="b">
        <v>0</v>
      </c>
      <c r="L1569" s="80" t="b">
        <v>0</v>
      </c>
    </row>
    <row r="1570" spans="1:12" ht="15">
      <c r="A1570" s="81" t="s">
        <v>2505</v>
      </c>
      <c r="B1570" s="80" t="s">
        <v>2609</v>
      </c>
      <c r="C1570" s="80">
        <v>4</v>
      </c>
      <c r="D1570" s="104">
        <v>0.003123586384794834</v>
      </c>
      <c r="E1570" s="104">
        <v>2.4099331233312946</v>
      </c>
      <c r="F1570" s="80" t="s">
        <v>2188</v>
      </c>
      <c r="G1570" s="80" t="b">
        <v>0</v>
      </c>
      <c r="H1570" s="80" t="b">
        <v>0</v>
      </c>
      <c r="I1570" s="80" t="b">
        <v>0</v>
      </c>
      <c r="J1570" s="80" t="b">
        <v>0</v>
      </c>
      <c r="K1570" s="80" t="b">
        <v>0</v>
      </c>
      <c r="L1570" s="80" t="b">
        <v>0</v>
      </c>
    </row>
    <row r="1571" spans="1:12" ht="15">
      <c r="A1571" s="81" t="s">
        <v>2609</v>
      </c>
      <c r="B1571" s="80" t="s">
        <v>2628</v>
      </c>
      <c r="C1571" s="80">
        <v>4</v>
      </c>
      <c r="D1571" s="104">
        <v>0.003123586384794834</v>
      </c>
      <c r="E1571" s="104">
        <v>2.4099331233312946</v>
      </c>
      <c r="F1571" s="80" t="s">
        <v>2188</v>
      </c>
      <c r="G1571" s="80" t="b">
        <v>0</v>
      </c>
      <c r="H1571" s="80" t="b">
        <v>0</v>
      </c>
      <c r="I1571" s="80" t="b">
        <v>0</v>
      </c>
      <c r="J1571" s="80" t="b">
        <v>0</v>
      </c>
      <c r="K1571" s="80" t="b">
        <v>0</v>
      </c>
      <c r="L1571" s="80" t="b">
        <v>0</v>
      </c>
    </row>
    <row r="1572" spans="1:12" ht="15">
      <c r="A1572" s="81" t="s">
        <v>2421</v>
      </c>
      <c r="B1572" s="80" t="s">
        <v>2354</v>
      </c>
      <c r="C1572" s="80">
        <v>4</v>
      </c>
      <c r="D1572" s="104">
        <v>0.004280281853244329</v>
      </c>
      <c r="E1572" s="104">
        <v>2.4099331233312946</v>
      </c>
      <c r="F1572" s="80" t="s">
        <v>2188</v>
      </c>
      <c r="G1572" s="80" t="b">
        <v>0</v>
      </c>
      <c r="H1572" s="80" t="b">
        <v>0</v>
      </c>
      <c r="I1572" s="80" t="b">
        <v>0</v>
      </c>
      <c r="J1572" s="80" t="b">
        <v>0</v>
      </c>
      <c r="K1572" s="80" t="b">
        <v>0</v>
      </c>
      <c r="L1572" s="80" t="b">
        <v>0</v>
      </c>
    </row>
    <row r="1573" spans="1:12" ht="15">
      <c r="A1573" s="81" t="s">
        <v>2215</v>
      </c>
      <c r="B1573" s="80" t="s">
        <v>2224</v>
      </c>
      <c r="C1573" s="80">
        <v>3</v>
      </c>
      <c r="D1573" s="104">
        <v>0.0018352221832483408</v>
      </c>
      <c r="E1573" s="104">
        <v>1.5068431363393509</v>
      </c>
      <c r="F1573" s="80" t="s">
        <v>2188</v>
      </c>
      <c r="G1573" s="80" t="b">
        <v>0</v>
      </c>
      <c r="H1573" s="80" t="b">
        <v>0</v>
      </c>
      <c r="I1573" s="80" t="b">
        <v>0</v>
      </c>
      <c r="J1573" s="80" t="b">
        <v>0</v>
      </c>
      <c r="K1573" s="80" t="b">
        <v>0</v>
      </c>
      <c r="L1573" s="80" t="b">
        <v>0</v>
      </c>
    </row>
    <row r="1574" spans="1:12" ht="15">
      <c r="A1574" s="81" t="s">
        <v>2215</v>
      </c>
      <c r="B1574" s="80" t="s">
        <v>2222</v>
      </c>
      <c r="C1574" s="80">
        <v>3</v>
      </c>
      <c r="D1574" s="104">
        <v>0.0018352221832483408</v>
      </c>
      <c r="E1574" s="104">
        <v>1.4556906138919696</v>
      </c>
      <c r="F1574" s="80" t="s">
        <v>2188</v>
      </c>
      <c r="G1574" s="80" t="b">
        <v>0</v>
      </c>
      <c r="H1574" s="80" t="b">
        <v>0</v>
      </c>
      <c r="I1574" s="80" t="b">
        <v>0</v>
      </c>
      <c r="J1574" s="80" t="b">
        <v>0</v>
      </c>
      <c r="K1574" s="80" t="b">
        <v>0</v>
      </c>
      <c r="L1574" s="80" t="b">
        <v>0</v>
      </c>
    </row>
    <row r="1575" spans="1:12" ht="15">
      <c r="A1575" s="81" t="s">
        <v>2634</v>
      </c>
      <c r="B1575" s="80" t="s">
        <v>2809</v>
      </c>
      <c r="C1575" s="80">
        <v>3</v>
      </c>
      <c r="D1575" s="104">
        <v>0.0018352221832483408</v>
      </c>
      <c r="E1575" s="104">
        <v>2.4099331233312946</v>
      </c>
      <c r="F1575" s="80" t="s">
        <v>2188</v>
      </c>
      <c r="G1575" s="80" t="b">
        <v>0</v>
      </c>
      <c r="H1575" s="80" t="b">
        <v>0</v>
      </c>
      <c r="I1575" s="80" t="b">
        <v>0</v>
      </c>
      <c r="J1575" s="80" t="b">
        <v>0</v>
      </c>
      <c r="K1575" s="80" t="b">
        <v>0</v>
      </c>
      <c r="L1575" s="80" t="b">
        <v>0</v>
      </c>
    </row>
    <row r="1576" spans="1:12" ht="15">
      <c r="A1576" s="81" t="s">
        <v>2463</v>
      </c>
      <c r="B1576" s="80" t="s">
        <v>2213</v>
      </c>
      <c r="C1576" s="80">
        <v>3</v>
      </c>
      <c r="D1576" s="104">
        <v>0.0018352221832483408</v>
      </c>
      <c r="E1576" s="104">
        <v>1.5068431363393509</v>
      </c>
      <c r="F1576" s="80" t="s">
        <v>2188</v>
      </c>
      <c r="G1576" s="80" t="b">
        <v>0</v>
      </c>
      <c r="H1576" s="80" t="b">
        <v>0</v>
      </c>
      <c r="I1576" s="80" t="b">
        <v>0</v>
      </c>
      <c r="J1576" s="80" t="b">
        <v>0</v>
      </c>
      <c r="K1576" s="80" t="b">
        <v>0</v>
      </c>
      <c r="L1576" s="80" t="b">
        <v>0</v>
      </c>
    </row>
    <row r="1577" spans="1:12" ht="15">
      <c r="A1577" s="81" t="s">
        <v>2543</v>
      </c>
      <c r="B1577" s="80" t="s">
        <v>2421</v>
      </c>
      <c r="C1577" s="80">
        <v>3</v>
      </c>
      <c r="D1577" s="104">
        <v>0.003210211389933247</v>
      </c>
      <c r="E1577" s="104">
        <v>2.4099331233312946</v>
      </c>
      <c r="F1577" s="80" t="s">
        <v>2188</v>
      </c>
      <c r="G1577" s="80" t="b">
        <v>0</v>
      </c>
      <c r="H1577" s="80" t="b">
        <v>0</v>
      </c>
      <c r="I1577" s="80" t="b">
        <v>0</v>
      </c>
      <c r="J1577" s="80" t="b">
        <v>0</v>
      </c>
      <c r="K1577" s="80" t="b">
        <v>0</v>
      </c>
      <c r="L1577" s="80" t="b">
        <v>0</v>
      </c>
    </row>
    <row r="1578" spans="1:12" ht="15">
      <c r="A1578" s="81" t="s">
        <v>2326</v>
      </c>
      <c r="B1578" s="80" t="s">
        <v>2701</v>
      </c>
      <c r="C1578" s="80">
        <v>3</v>
      </c>
      <c r="D1578" s="104">
        <v>0.0018352221832483408</v>
      </c>
      <c r="E1578" s="104">
        <v>1.970600429501032</v>
      </c>
      <c r="F1578" s="80" t="s">
        <v>2188</v>
      </c>
      <c r="G1578" s="80" t="b">
        <v>0</v>
      </c>
      <c r="H1578" s="80" t="b">
        <v>0</v>
      </c>
      <c r="I1578" s="80" t="b">
        <v>0</v>
      </c>
      <c r="J1578" s="80" t="b">
        <v>0</v>
      </c>
      <c r="K1578" s="80" t="b">
        <v>0</v>
      </c>
      <c r="L1578" s="80" t="b">
        <v>0</v>
      </c>
    </row>
    <row r="1579" spans="1:12" ht="15">
      <c r="A1579" s="81" t="s">
        <v>2843</v>
      </c>
      <c r="B1579" s="80" t="s">
        <v>2639</v>
      </c>
      <c r="C1579" s="80">
        <v>3</v>
      </c>
      <c r="D1579" s="104">
        <v>0.003210211389933247</v>
      </c>
      <c r="E1579" s="104">
        <v>2.4099331233312946</v>
      </c>
      <c r="F1579" s="80" t="s">
        <v>2188</v>
      </c>
      <c r="G1579" s="80" t="b">
        <v>0</v>
      </c>
      <c r="H1579" s="80" t="b">
        <v>0</v>
      </c>
      <c r="I1579" s="80" t="b">
        <v>0</v>
      </c>
      <c r="J1579" s="80" t="b">
        <v>0</v>
      </c>
      <c r="K1579" s="80" t="b">
        <v>0</v>
      </c>
      <c r="L1579" s="80" t="b">
        <v>0</v>
      </c>
    </row>
    <row r="1580" spans="1:12" ht="15">
      <c r="A1580" s="81" t="s">
        <v>2340</v>
      </c>
      <c r="B1580" s="80" t="s">
        <v>2463</v>
      </c>
      <c r="C1580" s="80">
        <v>3</v>
      </c>
      <c r="D1580" s="104">
        <v>0.0018352221832483408</v>
      </c>
      <c r="E1580" s="104">
        <v>1.7109631189952756</v>
      </c>
      <c r="F1580" s="80" t="s">
        <v>2188</v>
      </c>
      <c r="G1580" s="80" t="b">
        <v>0</v>
      </c>
      <c r="H1580" s="80" t="b">
        <v>0</v>
      </c>
      <c r="I1580" s="80" t="b">
        <v>0</v>
      </c>
      <c r="J1580" s="80" t="b">
        <v>0</v>
      </c>
      <c r="K1580" s="80" t="b">
        <v>0</v>
      </c>
      <c r="L1580" s="80" t="b">
        <v>0</v>
      </c>
    </row>
    <row r="1581" spans="1:12" ht="15">
      <c r="A1581" s="81" t="s">
        <v>2628</v>
      </c>
      <c r="B1581" s="80" t="s">
        <v>2843</v>
      </c>
      <c r="C1581" s="80">
        <v>3</v>
      </c>
      <c r="D1581" s="104">
        <v>0.003210211389933247</v>
      </c>
      <c r="E1581" s="104">
        <v>2.4099331233312946</v>
      </c>
      <c r="F1581" s="80" t="s">
        <v>2188</v>
      </c>
      <c r="G1581" s="80" t="b">
        <v>0</v>
      </c>
      <c r="H1581" s="80" t="b">
        <v>0</v>
      </c>
      <c r="I1581" s="80" t="b">
        <v>0</v>
      </c>
      <c r="J1581" s="80" t="b">
        <v>0</v>
      </c>
      <c r="K1581" s="80" t="b">
        <v>0</v>
      </c>
      <c r="L1581" s="80" t="b">
        <v>0</v>
      </c>
    </row>
    <row r="1582" spans="1:12" ht="15">
      <c r="A1582" s="81" t="s">
        <v>2776</v>
      </c>
      <c r="B1582" s="80" t="s">
        <v>2789</v>
      </c>
      <c r="C1582" s="80">
        <v>2</v>
      </c>
      <c r="D1582" s="104">
        <v>0.0021401409266221644</v>
      </c>
      <c r="E1582" s="104">
        <v>2.710963118995276</v>
      </c>
      <c r="F1582" s="80" t="s">
        <v>2188</v>
      </c>
      <c r="G1582" s="80" t="b">
        <v>1</v>
      </c>
      <c r="H1582" s="80" t="b">
        <v>0</v>
      </c>
      <c r="I1582" s="80" t="b">
        <v>0</v>
      </c>
      <c r="J1582" s="80" t="b">
        <v>0</v>
      </c>
      <c r="K1582" s="80" t="b">
        <v>0</v>
      </c>
      <c r="L1582" s="80" t="b">
        <v>0</v>
      </c>
    </row>
    <row r="1583" spans="1:12" ht="15">
      <c r="A1583" s="81" t="s">
        <v>2736</v>
      </c>
      <c r="B1583" s="80" t="s">
        <v>3298</v>
      </c>
      <c r="C1583" s="80">
        <v>2</v>
      </c>
      <c r="D1583" s="104">
        <v>0.0021401409266221644</v>
      </c>
      <c r="E1583" s="104">
        <v>2.5348718599395945</v>
      </c>
      <c r="F1583" s="80" t="s">
        <v>2188</v>
      </c>
      <c r="G1583" s="80" t="b">
        <v>0</v>
      </c>
      <c r="H1583" s="80" t="b">
        <v>0</v>
      </c>
      <c r="I1583" s="80" t="b">
        <v>0</v>
      </c>
      <c r="J1583" s="80" t="b">
        <v>0</v>
      </c>
      <c r="K1583" s="80" t="b">
        <v>0</v>
      </c>
      <c r="L1583" s="80" t="b">
        <v>0</v>
      </c>
    </row>
    <row r="1584" spans="1:12" ht="15">
      <c r="A1584" s="81" t="s">
        <v>2602</v>
      </c>
      <c r="B1584" s="80" t="s">
        <v>3300</v>
      </c>
      <c r="C1584" s="80">
        <v>2</v>
      </c>
      <c r="D1584" s="104">
        <v>0.001561793192397417</v>
      </c>
      <c r="E1584" s="104">
        <v>2.4099331233312946</v>
      </c>
      <c r="F1584" s="80" t="s">
        <v>2188</v>
      </c>
      <c r="G1584" s="80" t="b">
        <v>0</v>
      </c>
      <c r="H1584" s="80" t="b">
        <v>0</v>
      </c>
      <c r="I1584" s="80" t="b">
        <v>0</v>
      </c>
      <c r="J1584" s="80" t="b">
        <v>0</v>
      </c>
      <c r="K1584" s="80" t="b">
        <v>0</v>
      </c>
      <c r="L1584" s="80" t="b">
        <v>0</v>
      </c>
    </row>
    <row r="1585" spans="1:12" ht="15">
      <c r="A1585" s="81" t="s">
        <v>2225</v>
      </c>
      <c r="B1585" s="80" t="s">
        <v>2215</v>
      </c>
      <c r="C1585" s="80">
        <v>2</v>
      </c>
      <c r="D1585" s="104">
        <v>0.001561793192397417</v>
      </c>
      <c r="E1585" s="104">
        <v>1.4556906138919696</v>
      </c>
      <c r="F1585" s="80" t="s">
        <v>2188</v>
      </c>
      <c r="G1585" s="80" t="b">
        <v>0</v>
      </c>
      <c r="H1585" s="80" t="b">
        <v>0</v>
      </c>
      <c r="I1585" s="80" t="b">
        <v>0</v>
      </c>
      <c r="J1585" s="80" t="b">
        <v>0</v>
      </c>
      <c r="K1585" s="80" t="b">
        <v>0</v>
      </c>
      <c r="L1585" s="80" t="b">
        <v>0</v>
      </c>
    </row>
    <row r="1586" spans="1:12" ht="15">
      <c r="A1586" s="81" t="s">
        <v>3217</v>
      </c>
      <c r="B1586" s="80" t="s">
        <v>3029</v>
      </c>
      <c r="C1586" s="80">
        <v>2</v>
      </c>
      <c r="D1586" s="104">
        <v>0.001561793192397417</v>
      </c>
      <c r="E1586" s="104">
        <v>2.710963118995276</v>
      </c>
      <c r="F1586" s="80" t="s">
        <v>2188</v>
      </c>
      <c r="G1586" s="80" t="b">
        <v>0</v>
      </c>
      <c r="H1586" s="80" t="b">
        <v>0</v>
      </c>
      <c r="I1586" s="80" t="b">
        <v>0</v>
      </c>
      <c r="J1586" s="80" t="b">
        <v>0</v>
      </c>
      <c r="K1586" s="80" t="b">
        <v>0</v>
      </c>
      <c r="L1586" s="80" t="b">
        <v>0</v>
      </c>
    </row>
    <row r="1587" spans="1:12" ht="15">
      <c r="A1587" s="81" t="s">
        <v>2214</v>
      </c>
      <c r="B1587" s="80" t="s">
        <v>2486</v>
      </c>
      <c r="C1587" s="80">
        <v>2</v>
      </c>
      <c r="D1587" s="104">
        <v>0.001561793192397417</v>
      </c>
      <c r="E1587" s="104">
        <v>1.6054529342253017</v>
      </c>
      <c r="F1587" s="80" t="s">
        <v>2188</v>
      </c>
      <c r="G1587" s="80" t="b">
        <v>0</v>
      </c>
      <c r="H1587" s="80" t="b">
        <v>0</v>
      </c>
      <c r="I1587" s="80" t="b">
        <v>0</v>
      </c>
      <c r="J1587" s="80" t="b">
        <v>0</v>
      </c>
      <c r="K1587" s="80" t="b">
        <v>0</v>
      </c>
      <c r="L1587" s="80" t="b">
        <v>0</v>
      </c>
    </row>
    <row r="1588" spans="1:12" ht="15">
      <c r="A1588" s="81" t="s">
        <v>3053</v>
      </c>
      <c r="B1588" s="80" t="s">
        <v>2466</v>
      </c>
      <c r="C1588" s="80">
        <v>2</v>
      </c>
      <c r="D1588" s="104">
        <v>0.0021401409266221644</v>
      </c>
      <c r="E1588" s="104">
        <v>2.4099331233312946</v>
      </c>
      <c r="F1588" s="80" t="s">
        <v>2188</v>
      </c>
      <c r="G1588" s="80" t="b">
        <v>0</v>
      </c>
      <c r="H1588" s="80" t="b">
        <v>0</v>
      </c>
      <c r="I1588" s="80" t="b">
        <v>0</v>
      </c>
      <c r="J1588" s="80" t="b">
        <v>0</v>
      </c>
      <c r="K1588" s="80" t="b">
        <v>0</v>
      </c>
      <c r="L1588" s="80" t="b">
        <v>0</v>
      </c>
    </row>
    <row r="1589" spans="1:12" ht="15">
      <c r="A1589" s="81" t="s">
        <v>2932</v>
      </c>
      <c r="B1589" s="80" t="s">
        <v>3186</v>
      </c>
      <c r="C1589" s="80">
        <v>2</v>
      </c>
      <c r="D1589" s="104">
        <v>0.0021401409266221644</v>
      </c>
      <c r="E1589" s="104">
        <v>2.710963118995276</v>
      </c>
      <c r="F1589" s="80" t="s">
        <v>2188</v>
      </c>
      <c r="G1589" s="80" t="b">
        <v>0</v>
      </c>
      <c r="H1589" s="80" t="b">
        <v>0</v>
      </c>
      <c r="I1589" s="80" t="b">
        <v>0</v>
      </c>
      <c r="J1589" s="80" t="b">
        <v>0</v>
      </c>
      <c r="K1589" s="80" t="b">
        <v>0</v>
      </c>
      <c r="L1589" s="80" t="b">
        <v>0</v>
      </c>
    </row>
    <row r="1590" spans="1:12" ht="15">
      <c r="A1590" s="81" t="s">
        <v>3243</v>
      </c>
      <c r="B1590" s="80" t="s">
        <v>2448</v>
      </c>
      <c r="C1590" s="80">
        <v>2</v>
      </c>
      <c r="D1590" s="104">
        <v>0.001561793192397417</v>
      </c>
      <c r="E1590" s="104">
        <v>2.2338418642756133</v>
      </c>
      <c r="F1590" s="80" t="s">
        <v>2188</v>
      </c>
      <c r="G1590" s="80" t="b">
        <v>0</v>
      </c>
      <c r="H1590" s="80" t="b">
        <v>0</v>
      </c>
      <c r="I1590" s="80" t="b">
        <v>0</v>
      </c>
      <c r="J1590" s="80" t="b">
        <v>1</v>
      </c>
      <c r="K1590" s="80" t="b">
        <v>0</v>
      </c>
      <c r="L1590" s="80" t="b">
        <v>0</v>
      </c>
    </row>
    <row r="1591" spans="1:12" ht="15">
      <c r="A1591" s="81" t="s">
        <v>2326</v>
      </c>
      <c r="B1591" s="80" t="s">
        <v>3258</v>
      </c>
      <c r="C1591" s="80">
        <v>2</v>
      </c>
      <c r="D1591" s="104">
        <v>0.001561793192397417</v>
      </c>
      <c r="E1591" s="104">
        <v>1.970600429501032</v>
      </c>
      <c r="F1591" s="80" t="s">
        <v>2188</v>
      </c>
      <c r="G1591" s="80" t="b">
        <v>0</v>
      </c>
      <c r="H1591" s="80" t="b">
        <v>0</v>
      </c>
      <c r="I1591" s="80" t="b">
        <v>0</v>
      </c>
      <c r="J1591" s="80" t="b">
        <v>0</v>
      </c>
      <c r="K1591" s="80" t="b">
        <v>0</v>
      </c>
      <c r="L1591" s="80" t="b">
        <v>0</v>
      </c>
    </row>
    <row r="1592" spans="1:12" ht="15">
      <c r="A1592" s="81" t="s">
        <v>2722</v>
      </c>
      <c r="B1592" s="80" t="s">
        <v>2664</v>
      </c>
      <c r="C1592" s="80">
        <v>2</v>
      </c>
      <c r="D1592" s="104">
        <v>0.001561793192397417</v>
      </c>
      <c r="E1592" s="104">
        <v>2.5348718599395945</v>
      </c>
      <c r="F1592" s="80" t="s">
        <v>2188</v>
      </c>
      <c r="G1592" s="80" t="b">
        <v>0</v>
      </c>
      <c r="H1592" s="80" t="b">
        <v>0</v>
      </c>
      <c r="I1592" s="80" t="b">
        <v>0</v>
      </c>
      <c r="J1592" s="80" t="b">
        <v>0</v>
      </c>
      <c r="K1592" s="80" t="b">
        <v>0</v>
      </c>
      <c r="L1592" s="80" t="b">
        <v>0</v>
      </c>
    </row>
    <row r="1593" spans="1:12" ht="15">
      <c r="A1593" s="81" t="s">
        <v>2326</v>
      </c>
      <c r="B1593" s="80" t="s">
        <v>2737</v>
      </c>
      <c r="C1593" s="80">
        <v>2</v>
      </c>
      <c r="D1593" s="104">
        <v>0.0021401409266221644</v>
      </c>
      <c r="E1593" s="104">
        <v>1.970600429501032</v>
      </c>
      <c r="F1593" s="80" t="s">
        <v>2188</v>
      </c>
      <c r="G1593" s="80" t="b">
        <v>0</v>
      </c>
      <c r="H1593" s="80" t="b">
        <v>0</v>
      </c>
      <c r="I1593" s="80" t="b">
        <v>0</v>
      </c>
      <c r="J1593" s="80" t="b">
        <v>0</v>
      </c>
      <c r="K1593" s="80" t="b">
        <v>0</v>
      </c>
      <c r="L1593" s="80" t="b">
        <v>0</v>
      </c>
    </row>
    <row r="1594" spans="1:12" ht="15">
      <c r="A1594" s="81" t="s">
        <v>3286</v>
      </c>
      <c r="B1594" s="80" t="s">
        <v>2259</v>
      </c>
      <c r="C1594" s="80">
        <v>2</v>
      </c>
      <c r="D1594" s="104">
        <v>0.0021401409266221644</v>
      </c>
      <c r="E1594" s="104">
        <v>1.807873132003332</v>
      </c>
      <c r="F1594" s="80" t="s">
        <v>2188</v>
      </c>
      <c r="G1594" s="80" t="b">
        <v>0</v>
      </c>
      <c r="H1594" s="80" t="b">
        <v>0</v>
      </c>
      <c r="I1594" s="80" t="b">
        <v>0</v>
      </c>
      <c r="J1594" s="80" t="b">
        <v>0</v>
      </c>
      <c r="K1594" s="80" t="b">
        <v>0</v>
      </c>
      <c r="L1594" s="80" t="b">
        <v>0</v>
      </c>
    </row>
    <row r="1595" spans="1:12" ht="15">
      <c r="A1595" s="81" t="s">
        <v>3240</v>
      </c>
      <c r="B1595" s="80" t="s">
        <v>3286</v>
      </c>
      <c r="C1595" s="80">
        <v>2</v>
      </c>
      <c r="D1595" s="104">
        <v>0.0021401409266221644</v>
      </c>
      <c r="E1595" s="104">
        <v>2.710963118995276</v>
      </c>
      <c r="F1595" s="80" t="s">
        <v>2188</v>
      </c>
      <c r="G1595" s="80" t="b">
        <v>0</v>
      </c>
      <c r="H1595" s="80" t="b">
        <v>0</v>
      </c>
      <c r="I1595" s="80" t="b">
        <v>0</v>
      </c>
      <c r="J1595" s="80" t="b">
        <v>0</v>
      </c>
      <c r="K1595" s="80" t="b">
        <v>0</v>
      </c>
      <c r="L1595" s="80" t="b">
        <v>0</v>
      </c>
    </row>
    <row r="1596" spans="1:12" ht="15">
      <c r="A1596" s="81" t="s">
        <v>2824</v>
      </c>
      <c r="B1596" s="80" t="s">
        <v>2730</v>
      </c>
      <c r="C1596" s="80">
        <v>2</v>
      </c>
      <c r="D1596" s="104">
        <v>0.0021401409266221644</v>
      </c>
      <c r="E1596" s="104">
        <v>2.710963118995276</v>
      </c>
      <c r="F1596" s="80" t="s">
        <v>2188</v>
      </c>
      <c r="G1596" s="80" t="b">
        <v>0</v>
      </c>
      <c r="H1596" s="80" t="b">
        <v>0</v>
      </c>
      <c r="I1596" s="80" t="b">
        <v>0</v>
      </c>
      <c r="J1596" s="80" t="b">
        <v>0</v>
      </c>
      <c r="K1596" s="80" t="b">
        <v>0</v>
      </c>
      <c r="L1596" s="80" t="b">
        <v>0</v>
      </c>
    </row>
    <row r="1597" spans="1:12" ht="15">
      <c r="A1597" s="81" t="s">
        <v>3018</v>
      </c>
      <c r="B1597" s="80" t="s">
        <v>3065</v>
      </c>
      <c r="C1597" s="80">
        <v>2</v>
      </c>
      <c r="D1597" s="104">
        <v>0.0021401409266221644</v>
      </c>
      <c r="E1597" s="104">
        <v>2.710963118995276</v>
      </c>
      <c r="F1597" s="80" t="s">
        <v>2188</v>
      </c>
      <c r="G1597" s="80" t="b">
        <v>0</v>
      </c>
      <c r="H1597" s="80" t="b">
        <v>0</v>
      </c>
      <c r="I1597" s="80" t="b">
        <v>0</v>
      </c>
      <c r="J1597" s="80" t="b">
        <v>0</v>
      </c>
      <c r="K1597" s="80" t="b">
        <v>0</v>
      </c>
      <c r="L1597" s="80" t="b">
        <v>0</v>
      </c>
    </row>
    <row r="1598" spans="1:12" ht="15">
      <c r="A1598" s="81" t="s">
        <v>2259</v>
      </c>
      <c r="B1598" s="80" t="s">
        <v>2807</v>
      </c>
      <c r="C1598" s="80">
        <v>2</v>
      </c>
      <c r="D1598" s="104">
        <v>0.0021401409266221644</v>
      </c>
      <c r="E1598" s="104">
        <v>1.6054529342253017</v>
      </c>
      <c r="F1598" s="80" t="s">
        <v>2188</v>
      </c>
      <c r="G1598" s="80" t="b">
        <v>0</v>
      </c>
      <c r="H1598" s="80" t="b">
        <v>0</v>
      </c>
      <c r="I1598" s="80" t="b">
        <v>0</v>
      </c>
      <c r="J1598" s="80" t="b">
        <v>0</v>
      </c>
      <c r="K1598" s="80" t="b">
        <v>0</v>
      </c>
      <c r="L1598" s="80" t="b">
        <v>0</v>
      </c>
    </row>
    <row r="1599" spans="1:12" ht="15">
      <c r="A1599" s="81" t="s">
        <v>2950</v>
      </c>
      <c r="B1599" s="80" t="s">
        <v>2634</v>
      </c>
      <c r="C1599" s="80">
        <v>2</v>
      </c>
      <c r="D1599" s="104">
        <v>0.001561793192397417</v>
      </c>
      <c r="E1599" s="104">
        <v>2.4099331233312946</v>
      </c>
      <c r="F1599" s="80" t="s">
        <v>2188</v>
      </c>
      <c r="G1599" s="80" t="b">
        <v>0</v>
      </c>
      <c r="H1599" s="80" t="b">
        <v>0</v>
      </c>
      <c r="I1599" s="80" t="b">
        <v>0</v>
      </c>
      <c r="J1599" s="80" t="b">
        <v>0</v>
      </c>
      <c r="K1599" s="80" t="b">
        <v>0</v>
      </c>
      <c r="L1599" s="80" t="b">
        <v>0</v>
      </c>
    </row>
    <row r="1600" spans="1:12" ht="15">
      <c r="A1600" s="81" t="s">
        <v>2448</v>
      </c>
      <c r="B1600" s="80" t="s">
        <v>2287</v>
      </c>
      <c r="C1600" s="80">
        <v>2</v>
      </c>
      <c r="D1600" s="104">
        <v>0.001561793192397417</v>
      </c>
      <c r="E1600" s="104">
        <v>1.8359018556035758</v>
      </c>
      <c r="F1600" s="80" t="s">
        <v>2188</v>
      </c>
      <c r="G1600" s="80" t="b">
        <v>1</v>
      </c>
      <c r="H1600" s="80" t="b">
        <v>0</v>
      </c>
      <c r="I1600" s="80" t="b">
        <v>0</v>
      </c>
      <c r="J1600" s="80" t="b">
        <v>0</v>
      </c>
      <c r="K1600" s="80" t="b">
        <v>0</v>
      </c>
      <c r="L1600" s="80" t="b">
        <v>0</v>
      </c>
    </row>
    <row r="1601" spans="1:12" ht="15">
      <c r="A1601" s="81" t="s">
        <v>2419</v>
      </c>
      <c r="B1601" s="80" t="s">
        <v>2722</v>
      </c>
      <c r="C1601" s="80">
        <v>2</v>
      </c>
      <c r="D1601" s="104">
        <v>0.001561793192397417</v>
      </c>
      <c r="E1601" s="104">
        <v>1.9908038155893188</v>
      </c>
      <c r="F1601" s="80" t="s">
        <v>2188</v>
      </c>
      <c r="G1601" s="80" t="b">
        <v>0</v>
      </c>
      <c r="H1601" s="80" t="b">
        <v>0</v>
      </c>
      <c r="I1601" s="80" t="b">
        <v>0</v>
      </c>
      <c r="J1601" s="80" t="b">
        <v>0</v>
      </c>
      <c r="K1601" s="80" t="b">
        <v>0</v>
      </c>
      <c r="L1601" s="80" t="b">
        <v>0</v>
      </c>
    </row>
    <row r="1602" spans="1:12" ht="15">
      <c r="A1602" s="81" t="s">
        <v>2259</v>
      </c>
      <c r="B1602" s="80" t="s">
        <v>3053</v>
      </c>
      <c r="C1602" s="80">
        <v>2</v>
      </c>
      <c r="D1602" s="104">
        <v>0.0021401409266221644</v>
      </c>
      <c r="E1602" s="104">
        <v>1.781544193280983</v>
      </c>
      <c r="F1602" s="80" t="s">
        <v>2188</v>
      </c>
      <c r="G1602" s="80" t="b">
        <v>0</v>
      </c>
      <c r="H1602" s="80" t="b">
        <v>0</v>
      </c>
      <c r="I1602" s="80" t="b">
        <v>0</v>
      </c>
      <c r="J1602" s="80" t="b">
        <v>0</v>
      </c>
      <c r="K1602" s="80" t="b">
        <v>0</v>
      </c>
      <c r="L1602" s="80" t="b">
        <v>0</v>
      </c>
    </row>
    <row r="1603" spans="1:12" ht="15">
      <c r="A1603" s="81" t="s">
        <v>3198</v>
      </c>
      <c r="B1603" s="80" t="s">
        <v>2793</v>
      </c>
      <c r="C1603" s="80">
        <v>2</v>
      </c>
      <c r="D1603" s="104">
        <v>0.001561793192397417</v>
      </c>
      <c r="E1603" s="104">
        <v>2.710963118995276</v>
      </c>
      <c r="F1603" s="80" t="s">
        <v>2188</v>
      </c>
      <c r="G1603" s="80" t="b">
        <v>0</v>
      </c>
      <c r="H1603" s="80" t="b">
        <v>0</v>
      </c>
      <c r="I1603" s="80" t="b">
        <v>0</v>
      </c>
      <c r="J1603" s="80" t="b">
        <v>0</v>
      </c>
      <c r="K1603" s="80" t="b">
        <v>0</v>
      </c>
      <c r="L1603" s="80" t="b">
        <v>0</v>
      </c>
    </row>
    <row r="1604" spans="1:12" ht="15">
      <c r="A1604" s="81" t="s">
        <v>3045</v>
      </c>
      <c r="B1604" s="80" t="s">
        <v>2993</v>
      </c>
      <c r="C1604" s="80">
        <v>2</v>
      </c>
      <c r="D1604" s="104">
        <v>0.001561793192397417</v>
      </c>
      <c r="E1604" s="104">
        <v>2.710963118995276</v>
      </c>
      <c r="F1604" s="80" t="s">
        <v>2188</v>
      </c>
      <c r="G1604" s="80" t="b">
        <v>0</v>
      </c>
      <c r="H1604" s="80" t="b">
        <v>0</v>
      </c>
      <c r="I1604" s="80" t="b">
        <v>0</v>
      </c>
      <c r="J1604" s="80" t="b">
        <v>0</v>
      </c>
      <c r="K1604" s="80" t="b">
        <v>0</v>
      </c>
      <c r="L1604" s="80" t="b">
        <v>0</v>
      </c>
    </row>
    <row r="1605" spans="1:12" ht="15">
      <c r="A1605" s="81" t="s">
        <v>3283</v>
      </c>
      <c r="B1605" s="80" t="s">
        <v>2419</v>
      </c>
      <c r="C1605" s="80">
        <v>2</v>
      </c>
      <c r="D1605" s="104">
        <v>0.001561793192397417</v>
      </c>
      <c r="E1605" s="104">
        <v>2.166895074645</v>
      </c>
      <c r="F1605" s="80" t="s">
        <v>2188</v>
      </c>
      <c r="G1605" s="80" t="b">
        <v>0</v>
      </c>
      <c r="H1605" s="80" t="b">
        <v>0</v>
      </c>
      <c r="I1605" s="80" t="b">
        <v>0</v>
      </c>
      <c r="J1605" s="80" t="b">
        <v>0</v>
      </c>
      <c r="K1605" s="80" t="b">
        <v>0</v>
      </c>
      <c r="L1605" s="80" t="b">
        <v>0</v>
      </c>
    </row>
    <row r="1606" spans="1:12" ht="15">
      <c r="A1606" s="81" t="s">
        <v>2809</v>
      </c>
      <c r="B1606" s="80" t="s">
        <v>2936</v>
      </c>
      <c r="C1606" s="80">
        <v>2</v>
      </c>
      <c r="D1606" s="104">
        <v>0.001561793192397417</v>
      </c>
      <c r="E1606" s="104">
        <v>2.5348718599395945</v>
      </c>
      <c r="F1606" s="80" t="s">
        <v>2188</v>
      </c>
      <c r="G1606" s="80" t="b">
        <v>0</v>
      </c>
      <c r="H1606" s="80" t="b">
        <v>0</v>
      </c>
      <c r="I1606" s="80" t="b">
        <v>0</v>
      </c>
      <c r="J1606" s="80" t="b">
        <v>0</v>
      </c>
      <c r="K1606" s="80" t="b">
        <v>0</v>
      </c>
      <c r="L1606" s="80" t="b">
        <v>0</v>
      </c>
    </row>
    <row r="1607" spans="1:12" ht="15">
      <c r="A1607" s="81" t="s">
        <v>2958</v>
      </c>
      <c r="B1607" s="80" t="s">
        <v>3185</v>
      </c>
      <c r="C1607" s="80">
        <v>2</v>
      </c>
      <c r="D1607" s="104">
        <v>0.0021401409266221644</v>
      </c>
      <c r="E1607" s="104">
        <v>2.710963118995276</v>
      </c>
      <c r="F1607" s="80" t="s">
        <v>2188</v>
      </c>
      <c r="G1607" s="80" t="b">
        <v>0</v>
      </c>
      <c r="H1607" s="80" t="b">
        <v>0</v>
      </c>
      <c r="I1607" s="80" t="b">
        <v>0</v>
      </c>
      <c r="J1607" s="80" t="b">
        <v>0</v>
      </c>
      <c r="K1607" s="80" t="b">
        <v>0</v>
      </c>
      <c r="L1607" s="80" t="b">
        <v>0</v>
      </c>
    </row>
    <row r="1608" spans="1:12" ht="15">
      <c r="A1608" s="81" t="s">
        <v>2459</v>
      </c>
      <c r="B1608" s="80" t="s">
        <v>2630</v>
      </c>
      <c r="C1608" s="80">
        <v>2</v>
      </c>
      <c r="D1608" s="104">
        <v>0.0021401409266221644</v>
      </c>
      <c r="E1608" s="104">
        <v>2.710963118995276</v>
      </c>
      <c r="F1608" s="80" t="s">
        <v>2188</v>
      </c>
      <c r="G1608" s="80" t="b">
        <v>0</v>
      </c>
      <c r="H1608" s="80" t="b">
        <v>0</v>
      </c>
      <c r="I1608" s="80" t="b">
        <v>0</v>
      </c>
      <c r="J1608" s="80" t="b">
        <v>0</v>
      </c>
      <c r="K1608" s="80" t="b">
        <v>0</v>
      </c>
      <c r="L1608" s="80" t="b">
        <v>0</v>
      </c>
    </row>
    <row r="1609" spans="1:12" ht="15">
      <c r="A1609" s="81" t="s">
        <v>2789</v>
      </c>
      <c r="B1609" s="80" t="s">
        <v>2446</v>
      </c>
      <c r="C1609" s="80">
        <v>2</v>
      </c>
      <c r="D1609" s="104">
        <v>0.0021401409266221644</v>
      </c>
      <c r="E1609" s="104">
        <v>2.4099331233312946</v>
      </c>
      <c r="F1609" s="80" t="s">
        <v>2188</v>
      </c>
      <c r="G1609" s="80" t="b">
        <v>0</v>
      </c>
      <c r="H1609" s="80" t="b">
        <v>0</v>
      </c>
      <c r="I1609" s="80" t="b">
        <v>0</v>
      </c>
      <c r="J1609" s="80" t="b">
        <v>0</v>
      </c>
      <c r="K1609" s="80" t="b">
        <v>0</v>
      </c>
      <c r="L1609" s="80" t="b">
        <v>0</v>
      </c>
    </row>
    <row r="1610" spans="1:12" ht="15">
      <c r="A1610" s="81" t="s">
        <v>2264</v>
      </c>
      <c r="B1610" s="80" t="s">
        <v>2213</v>
      </c>
      <c r="C1610" s="80">
        <v>2</v>
      </c>
      <c r="D1610" s="104">
        <v>0.001561793192397417</v>
      </c>
      <c r="E1610" s="104">
        <v>1.631781872947651</v>
      </c>
      <c r="F1610" s="80" t="s">
        <v>2188</v>
      </c>
      <c r="G1610" s="80" t="b">
        <v>0</v>
      </c>
      <c r="H1610" s="80" t="b">
        <v>0</v>
      </c>
      <c r="I1610" s="80" t="b">
        <v>0</v>
      </c>
      <c r="J1610" s="80" t="b">
        <v>0</v>
      </c>
      <c r="K1610" s="80" t="b">
        <v>0</v>
      </c>
      <c r="L1610" s="80" t="b">
        <v>0</v>
      </c>
    </row>
    <row r="1611" spans="1:12" ht="15">
      <c r="A1611" s="81" t="s">
        <v>2340</v>
      </c>
      <c r="B1611" s="80" t="s">
        <v>2222</v>
      </c>
      <c r="C1611" s="80">
        <v>2</v>
      </c>
      <c r="D1611" s="104">
        <v>0.001561793192397417</v>
      </c>
      <c r="E1611" s="104">
        <v>1.3587806008839132</v>
      </c>
      <c r="F1611" s="80" t="s">
        <v>2188</v>
      </c>
      <c r="G1611" s="80" t="b">
        <v>0</v>
      </c>
      <c r="H1611" s="80" t="b">
        <v>0</v>
      </c>
      <c r="I1611" s="80" t="b">
        <v>0</v>
      </c>
      <c r="J1611" s="80" t="b">
        <v>0</v>
      </c>
      <c r="K1611" s="80" t="b">
        <v>0</v>
      </c>
      <c r="L1611" s="80" t="b">
        <v>0</v>
      </c>
    </row>
    <row r="1612" spans="1:12" ht="15">
      <c r="A1612" s="81" t="s">
        <v>3247</v>
      </c>
      <c r="B1612" s="80" t="s">
        <v>2250</v>
      </c>
      <c r="C1612" s="80">
        <v>2</v>
      </c>
      <c r="D1612" s="104">
        <v>0.001561793192397417</v>
      </c>
      <c r="E1612" s="104">
        <v>2.4099331233312946</v>
      </c>
      <c r="F1612" s="80" t="s">
        <v>2188</v>
      </c>
      <c r="G1612" s="80" t="b">
        <v>0</v>
      </c>
      <c r="H1612" s="80" t="b">
        <v>0</v>
      </c>
      <c r="I1612" s="80" t="b">
        <v>0</v>
      </c>
      <c r="J1612" s="80" t="b">
        <v>0</v>
      </c>
      <c r="K1612" s="80" t="b">
        <v>0</v>
      </c>
      <c r="L1612" s="80" t="b">
        <v>0</v>
      </c>
    </row>
    <row r="1613" spans="1:12" ht="15">
      <c r="A1613" s="81" t="s">
        <v>2225</v>
      </c>
      <c r="B1613" s="80" t="s">
        <v>2348</v>
      </c>
      <c r="C1613" s="80">
        <v>2</v>
      </c>
      <c r="D1613" s="104">
        <v>0.001561793192397417</v>
      </c>
      <c r="E1613" s="104">
        <v>1.5348718599395945</v>
      </c>
      <c r="F1613" s="80" t="s">
        <v>2188</v>
      </c>
      <c r="G1613" s="80" t="b">
        <v>0</v>
      </c>
      <c r="H1613" s="80" t="b">
        <v>0</v>
      </c>
      <c r="I1613" s="80" t="b">
        <v>0</v>
      </c>
      <c r="J1613" s="80" t="b">
        <v>0</v>
      </c>
      <c r="K1613" s="80" t="b">
        <v>0</v>
      </c>
      <c r="L1613" s="80" t="b">
        <v>0</v>
      </c>
    </row>
    <row r="1614" spans="1:12" ht="15">
      <c r="A1614" s="81" t="s">
        <v>2329</v>
      </c>
      <c r="B1614" s="80" t="s">
        <v>2259</v>
      </c>
      <c r="C1614" s="80">
        <v>2</v>
      </c>
      <c r="D1614" s="104">
        <v>0.0021401409266221644</v>
      </c>
      <c r="E1614" s="104">
        <v>1.4099331233312944</v>
      </c>
      <c r="F1614" s="80" t="s">
        <v>2188</v>
      </c>
      <c r="G1614" s="80" t="b">
        <v>0</v>
      </c>
      <c r="H1614" s="80" t="b">
        <v>0</v>
      </c>
      <c r="I1614" s="80" t="b">
        <v>0</v>
      </c>
      <c r="J1614" s="80" t="b">
        <v>0</v>
      </c>
      <c r="K1614" s="80" t="b">
        <v>0</v>
      </c>
      <c r="L1614" s="80" t="b">
        <v>0</v>
      </c>
    </row>
    <row r="1615" spans="1:12" ht="15">
      <c r="A1615" s="81" t="s">
        <v>2224</v>
      </c>
      <c r="B1615" s="80" t="s">
        <v>2215</v>
      </c>
      <c r="C1615" s="80">
        <v>2</v>
      </c>
      <c r="D1615" s="104">
        <v>0.001561793192397417</v>
      </c>
      <c r="E1615" s="104">
        <v>1.3307518772836697</v>
      </c>
      <c r="F1615" s="80" t="s">
        <v>2188</v>
      </c>
      <c r="G1615" s="80" t="b">
        <v>0</v>
      </c>
      <c r="H1615" s="80" t="b">
        <v>0</v>
      </c>
      <c r="I1615" s="80" t="b">
        <v>0</v>
      </c>
      <c r="J1615" s="80" t="b">
        <v>0</v>
      </c>
      <c r="K1615" s="80" t="b">
        <v>0</v>
      </c>
      <c r="L1615" s="80" t="b">
        <v>0</v>
      </c>
    </row>
    <row r="1616" spans="1:12" ht="15">
      <c r="A1616" s="81" t="s">
        <v>2705</v>
      </c>
      <c r="B1616" s="80" t="s">
        <v>3302</v>
      </c>
      <c r="C1616" s="80">
        <v>2</v>
      </c>
      <c r="D1616" s="104">
        <v>0.001561793192397417</v>
      </c>
      <c r="E1616" s="104">
        <v>2.5348718599395945</v>
      </c>
      <c r="F1616" s="80" t="s">
        <v>2188</v>
      </c>
      <c r="G1616" s="80" t="b">
        <v>0</v>
      </c>
      <c r="H1616" s="80" t="b">
        <v>0</v>
      </c>
      <c r="I1616" s="80" t="b">
        <v>0</v>
      </c>
      <c r="J1616" s="80" t="b">
        <v>0</v>
      </c>
      <c r="K1616" s="80" t="b">
        <v>0</v>
      </c>
      <c r="L1616" s="80" t="b">
        <v>0</v>
      </c>
    </row>
    <row r="1617" spans="1:12" ht="15">
      <c r="A1617" s="81" t="s">
        <v>3042</v>
      </c>
      <c r="B1617" s="80" t="s">
        <v>2958</v>
      </c>
      <c r="C1617" s="80">
        <v>2</v>
      </c>
      <c r="D1617" s="104">
        <v>0.0021401409266221644</v>
      </c>
      <c r="E1617" s="104">
        <v>2.710963118995276</v>
      </c>
      <c r="F1617" s="80" t="s">
        <v>2188</v>
      </c>
      <c r="G1617" s="80" t="b">
        <v>0</v>
      </c>
      <c r="H1617" s="80" t="b">
        <v>0</v>
      </c>
      <c r="I1617" s="80" t="b">
        <v>0</v>
      </c>
      <c r="J1617" s="80" t="b">
        <v>0</v>
      </c>
      <c r="K1617" s="80" t="b">
        <v>0</v>
      </c>
      <c r="L1617" s="80" t="b">
        <v>0</v>
      </c>
    </row>
    <row r="1618" spans="1:12" ht="15">
      <c r="A1618" s="81" t="s">
        <v>2340</v>
      </c>
      <c r="B1618" s="80" t="s">
        <v>2885</v>
      </c>
      <c r="C1618" s="80">
        <v>2</v>
      </c>
      <c r="D1618" s="104">
        <v>0.001561793192397417</v>
      </c>
      <c r="E1618" s="104">
        <v>2.0119931146592567</v>
      </c>
      <c r="F1618" s="80" t="s">
        <v>2188</v>
      </c>
      <c r="G1618" s="80" t="b">
        <v>0</v>
      </c>
      <c r="H1618" s="80" t="b">
        <v>0</v>
      </c>
      <c r="I1618" s="80" t="b">
        <v>0</v>
      </c>
      <c r="J1618" s="80" t="b">
        <v>0</v>
      </c>
      <c r="K1618" s="80" t="b">
        <v>0</v>
      </c>
      <c r="L1618" s="80" t="b">
        <v>0</v>
      </c>
    </row>
    <row r="1619" spans="1:12" ht="15">
      <c r="A1619" s="81" t="s">
        <v>2928</v>
      </c>
      <c r="B1619" s="80" t="s">
        <v>2972</v>
      </c>
      <c r="C1619" s="80">
        <v>2</v>
      </c>
      <c r="D1619" s="104">
        <v>0.001561793192397417</v>
      </c>
      <c r="E1619" s="104">
        <v>2.710963118995276</v>
      </c>
      <c r="F1619" s="80" t="s">
        <v>2188</v>
      </c>
      <c r="G1619" s="80" t="b">
        <v>0</v>
      </c>
      <c r="H1619" s="80" t="b">
        <v>0</v>
      </c>
      <c r="I1619" s="80" t="b">
        <v>0</v>
      </c>
      <c r="J1619" s="80" t="b">
        <v>0</v>
      </c>
      <c r="K1619" s="80" t="b">
        <v>0</v>
      </c>
      <c r="L1619" s="80" t="b">
        <v>0</v>
      </c>
    </row>
    <row r="1620" spans="1:12" ht="15">
      <c r="A1620" s="81" t="s">
        <v>3013</v>
      </c>
      <c r="B1620" s="80" t="s">
        <v>2978</v>
      </c>
      <c r="C1620" s="80">
        <v>2</v>
      </c>
      <c r="D1620" s="104">
        <v>0.001561793192397417</v>
      </c>
      <c r="E1620" s="104">
        <v>2.710963118995276</v>
      </c>
      <c r="F1620" s="80" t="s">
        <v>2188</v>
      </c>
      <c r="G1620" s="80" t="b">
        <v>0</v>
      </c>
      <c r="H1620" s="80" t="b">
        <v>0</v>
      </c>
      <c r="I1620" s="80" t="b">
        <v>0</v>
      </c>
      <c r="J1620" s="80" t="b">
        <v>0</v>
      </c>
      <c r="K1620" s="80" t="b">
        <v>0</v>
      </c>
      <c r="L1620" s="80" t="b">
        <v>0</v>
      </c>
    </row>
    <row r="1621" spans="1:12" ht="15">
      <c r="A1621" s="81" t="s">
        <v>2976</v>
      </c>
      <c r="B1621" s="80" t="s">
        <v>3086</v>
      </c>
      <c r="C1621" s="80">
        <v>2</v>
      </c>
      <c r="D1621" s="104">
        <v>0.001561793192397417</v>
      </c>
      <c r="E1621" s="104">
        <v>2.710963118995276</v>
      </c>
      <c r="F1621" s="80" t="s">
        <v>2188</v>
      </c>
      <c r="G1621" s="80" t="b">
        <v>0</v>
      </c>
      <c r="H1621" s="80" t="b">
        <v>0</v>
      </c>
      <c r="I1621" s="80" t="b">
        <v>0</v>
      </c>
      <c r="J1621" s="80" t="b">
        <v>0</v>
      </c>
      <c r="K1621" s="80" t="b">
        <v>0</v>
      </c>
      <c r="L1621" s="80" t="b">
        <v>0</v>
      </c>
    </row>
    <row r="1622" spans="1:12" ht="15">
      <c r="A1622" s="81" t="s">
        <v>2591</v>
      </c>
      <c r="B1622" s="80" t="s">
        <v>2705</v>
      </c>
      <c r="C1622" s="80">
        <v>2</v>
      </c>
      <c r="D1622" s="104">
        <v>0.001561793192397417</v>
      </c>
      <c r="E1622" s="104">
        <v>2.2338418642756133</v>
      </c>
      <c r="F1622" s="80" t="s">
        <v>2188</v>
      </c>
      <c r="G1622" s="80" t="b">
        <v>0</v>
      </c>
      <c r="H1622" s="80" t="b">
        <v>0</v>
      </c>
      <c r="I1622" s="80" t="b">
        <v>0</v>
      </c>
      <c r="J1622" s="80" t="b">
        <v>0</v>
      </c>
      <c r="K1622" s="80" t="b">
        <v>0</v>
      </c>
      <c r="L1622" s="80" t="b">
        <v>0</v>
      </c>
    </row>
    <row r="1623" spans="1:12" ht="15">
      <c r="A1623" s="81" t="s">
        <v>2232</v>
      </c>
      <c r="B1623" s="80" t="s">
        <v>3157</v>
      </c>
      <c r="C1623" s="80">
        <v>2</v>
      </c>
      <c r="D1623" s="104">
        <v>0.001561793192397417</v>
      </c>
      <c r="E1623" s="104">
        <v>2.166895074645</v>
      </c>
      <c r="F1623" s="80" t="s">
        <v>2188</v>
      </c>
      <c r="G1623" s="80" t="b">
        <v>0</v>
      </c>
      <c r="H1623" s="80" t="b">
        <v>0</v>
      </c>
      <c r="I1623" s="80" t="b">
        <v>0</v>
      </c>
      <c r="J1623" s="80" t="b">
        <v>0</v>
      </c>
      <c r="K1623" s="80" t="b">
        <v>0</v>
      </c>
      <c r="L1623" s="80" t="b">
        <v>0</v>
      </c>
    </row>
    <row r="1624" spans="1:12" ht="15">
      <c r="A1624" s="81" t="s">
        <v>2885</v>
      </c>
      <c r="B1624" s="80" t="s">
        <v>2504</v>
      </c>
      <c r="C1624" s="80">
        <v>2</v>
      </c>
      <c r="D1624" s="104">
        <v>0.001561793192397417</v>
      </c>
      <c r="E1624" s="104">
        <v>2.313023110323238</v>
      </c>
      <c r="F1624" s="80" t="s">
        <v>2188</v>
      </c>
      <c r="G1624" s="80" t="b">
        <v>0</v>
      </c>
      <c r="H1624" s="80" t="b">
        <v>0</v>
      </c>
      <c r="I1624" s="80" t="b">
        <v>0</v>
      </c>
      <c r="J1624" s="80" t="b">
        <v>0</v>
      </c>
      <c r="K1624" s="80" t="b">
        <v>1</v>
      </c>
      <c r="L1624" s="80" t="b">
        <v>0</v>
      </c>
    </row>
    <row r="1625" spans="1:12" ht="15">
      <c r="A1625" s="81" t="s">
        <v>2821</v>
      </c>
      <c r="B1625" s="80" t="s">
        <v>2217</v>
      </c>
      <c r="C1625" s="80">
        <v>2</v>
      </c>
      <c r="D1625" s="104">
        <v>0.001561793192397417</v>
      </c>
      <c r="E1625" s="104">
        <v>2.313023110323238</v>
      </c>
      <c r="F1625" s="80" t="s">
        <v>2188</v>
      </c>
      <c r="G1625" s="80" t="b">
        <v>0</v>
      </c>
      <c r="H1625" s="80" t="b">
        <v>0</v>
      </c>
      <c r="I1625" s="80" t="b">
        <v>0</v>
      </c>
      <c r="J1625" s="80" t="b">
        <v>0</v>
      </c>
      <c r="K1625" s="80" t="b">
        <v>0</v>
      </c>
      <c r="L1625" s="80" t="b">
        <v>0</v>
      </c>
    </row>
    <row r="1626" spans="1:12" ht="15">
      <c r="A1626" s="81" t="s">
        <v>3029</v>
      </c>
      <c r="B1626" s="80" t="s">
        <v>2949</v>
      </c>
      <c r="C1626" s="80">
        <v>2</v>
      </c>
      <c r="D1626" s="104">
        <v>0.001561793192397417</v>
      </c>
      <c r="E1626" s="104">
        <v>2.710963118995276</v>
      </c>
      <c r="F1626" s="80" t="s">
        <v>2188</v>
      </c>
      <c r="G1626" s="80" t="b">
        <v>0</v>
      </c>
      <c r="H1626" s="80" t="b">
        <v>0</v>
      </c>
      <c r="I1626" s="80" t="b">
        <v>0</v>
      </c>
      <c r="J1626" s="80" t="b">
        <v>0</v>
      </c>
      <c r="K1626" s="80" t="b">
        <v>0</v>
      </c>
      <c r="L1626" s="80" t="b">
        <v>0</v>
      </c>
    </row>
    <row r="1627" spans="1:12" ht="15">
      <c r="A1627" s="81" t="s">
        <v>3249</v>
      </c>
      <c r="B1627" s="80" t="s">
        <v>2996</v>
      </c>
      <c r="C1627" s="80">
        <v>2</v>
      </c>
      <c r="D1627" s="104">
        <v>0.001561793192397417</v>
      </c>
      <c r="E1627" s="104">
        <v>2.710963118995276</v>
      </c>
      <c r="F1627" s="80" t="s">
        <v>2188</v>
      </c>
      <c r="G1627" s="80" t="b">
        <v>0</v>
      </c>
      <c r="H1627" s="80" t="b">
        <v>0</v>
      </c>
      <c r="I1627" s="80" t="b">
        <v>0</v>
      </c>
      <c r="J1627" s="80" t="b">
        <v>0</v>
      </c>
      <c r="K1627" s="80" t="b">
        <v>0</v>
      </c>
      <c r="L1627" s="80" t="b">
        <v>0</v>
      </c>
    </row>
    <row r="1628" spans="1:12" ht="15">
      <c r="A1628" s="81" t="s">
        <v>2348</v>
      </c>
      <c r="B1628" s="80" t="s">
        <v>2225</v>
      </c>
      <c r="C1628" s="80">
        <v>2</v>
      </c>
      <c r="D1628" s="104">
        <v>0.001561793192397417</v>
      </c>
      <c r="E1628" s="104">
        <v>1.4679250703089812</v>
      </c>
      <c r="F1628" s="80" t="s">
        <v>2188</v>
      </c>
      <c r="G1628" s="80" t="b">
        <v>0</v>
      </c>
      <c r="H1628" s="80" t="b">
        <v>0</v>
      </c>
      <c r="I1628" s="80" t="b">
        <v>0</v>
      </c>
      <c r="J1628" s="80" t="b">
        <v>0</v>
      </c>
      <c r="K1628" s="80" t="b">
        <v>0</v>
      </c>
      <c r="L1628" s="80" t="b">
        <v>0</v>
      </c>
    </row>
    <row r="1629" spans="1:12" ht="15">
      <c r="A1629" s="81" t="s">
        <v>2519</v>
      </c>
      <c r="B1629" s="80" t="s">
        <v>2348</v>
      </c>
      <c r="C1629" s="80">
        <v>2</v>
      </c>
      <c r="D1629" s="104">
        <v>0.001561793192397417</v>
      </c>
      <c r="E1629" s="104">
        <v>1.8359018556035758</v>
      </c>
      <c r="F1629" s="80" t="s">
        <v>2188</v>
      </c>
      <c r="G1629" s="80" t="b">
        <v>0</v>
      </c>
      <c r="H1629" s="80" t="b">
        <v>0</v>
      </c>
      <c r="I1629" s="80" t="b">
        <v>0</v>
      </c>
      <c r="J1629" s="80" t="b">
        <v>0</v>
      </c>
      <c r="K1629" s="80" t="b">
        <v>0</v>
      </c>
      <c r="L1629" s="80" t="b">
        <v>0</v>
      </c>
    </row>
    <row r="1630" spans="1:12" ht="15">
      <c r="A1630" s="81" t="s">
        <v>2591</v>
      </c>
      <c r="B1630" s="80" t="s">
        <v>3013</v>
      </c>
      <c r="C1630" s="80">
        <v>2</v>
      </c>
      <c r="D1630" s="104">
        <v>0.001561793192397417</v>
      </c>
      <c r="E1630" s="104">
        <v>2.4099331233312946</v>
      </c>
      <c r="F1630" s="80" t="s">
        <v>2188</v>
      </c>
      <c r="G1630" s="80" t="b">
        <v>0</v>
      </c>
      <c r="H1630" s="80" t="b">
        <v>0</v>
      </c>
      <c r="I1630" s="80" t="b">
        <v>0</v>
      </c>
      <c r="J1630" s="80" t="b">
        <v>0</v>
      </c>
      <c r="K1630" s="80" t="b">
        <v>0</v>
      </c>
      <c r="L1630" s="80" t="b">
        <v>0</v>
      </c>
    </row>
    <row r="1631" spans="1:12" ht="15">
      <c r="A1631" s="81" t="s">
        <v>2737</v>
      </c>
      <c r="B1631" s="80" t="s">
        <v>2824</v>
      </c>
      <c r="C1631" s="80">
        <v>2</v>
      </c>
      <c r="D1631" s="104">
        <v>0.0021401409266221644</v>
      </c>
      <c r="E1631" s="104">
        <v>2.710963118995276</v>
      </c>
      <c r="F1631" s="80" t="s">
        <v>2188</v>
      </c>
      <c r="G1631" s="80" t="b">
        <v>0</v>
      </c>
      <c r="H1631" s="80" t="b">
        <v>0</v>
      </c>
      <c r="I1631" s="80" t="b">
        <v>0</v>
      </c>
      <c r="J1631" s="80" t="b">
        <v>0</v>
      </c>
      <c r="K1631" s="80" t="b">
        <v>0</v>
      </c>
      <c r="L1631" s="80" t="b">
        <v>0</v>
      </c>
    </row>
    <row r="1632" spans="1:12" ht="15">
      <c r="A1632" s="81" t="s">
        <v>2990</v>
      </c>
      <c r="B1632" s="80" t="s">
        <v>3283</v>
      </c>
      <c r="C1632" s="80">
        <v>2</v>
      </c>
      <c r="D1632" s="104">
        <v>0.001561793192397417</v>
      </c>
      <c r="E1632" s="104">
        <v>2.710963118995276</v>
      </c>
      <c r="F1632" s="80" t="s">
        <v>2188</v>
      </c>
      <c r="G1632" s="80" t="b">
        <v>0</v>
      </c>
      <c r="H1632" s="80" t="b">
        <v>0</v>
      </c>
      <c r="I1632" s="80" t="b">
        <v>0</v>
      </c>
      <c r="J1632" s="80" t="b">
        <v>0</v>
      </c>
      <c r="K1632" s="80" t="b">
        <v>0</v>
      </c>
      <c r="L1632" s="80" t="b">
        <v>0</v>
      </c>
    </row>
    <row r="1633" spans="1:12" ht="15">
      <c r="A1633" s="81" t="s">
        <v>2993</v>
      </c>
      <c r="B1633" s="80" t="s">
        <v>2950</v>
      </c>
      <c r="C1633" s="80">
        <v>2</v>
      </c>
      <c r="D1633" s="104">
        <v>0.001561793192397417</v>
      </c>
      <c r="E1633" s="104">
        <v>2.710963118995276</v>
      </c>
      <c r="F1633" s="80" t="s">
        <v>2188</v>
      </c>
      <c r="G1633" s="80" t="b">
        <v>0</v>
      </c>
      <c r="H1633" s="80" t="b">
        <v>0</v>
      </c>
      <c r="I1633" s="80" t="b">
        <v>0</v>
      </c>
      <c r="J1633" s="80" t="b">
        <v>0</v>
      </c>
      <c r="K1633" s="80" t="b">
        <v>0</v>
      </c>
      <c r="L1633" s="80" t="b">
        <v>0</v>
      </c>
    </row>
    <row r="1634" spans="1:12" ht="15">
      <c r="A1634" s="81" t="s">
        <v>2807</v>
      </c>
      <c r="B1634" s="80" t="s">
        <v>3093</v>
      </c>
      <c r="C1634" s="80">
        <v>2</v>
      </c>
      <c r="D1634" s="104">
        <v>0.0021401409266221644</v>
      </c>
      <c r="E1634" s="104">
        <v>2.5348718599395945</v>
      </c>
      <c r="F1634" s="80" t="s">
        <v>2188</v>
      </c>
      <c r="G1634" s="80" t="b">
        <v>0</v>
      </c>
      <c r="H1634" s="80" t="b">
        <v>0</v>
      </c>
      <c r="I1634" s="80" t="b">
        <v>0</v>
      </c>
      <c r="J1634" s="80" t="b">
        <v>0</v>
      </c>
      <c r="K1634" s="80" t="b">
        <v>0</v>
      </c>
      <c r="L1634" s="80" t="b">
        <v>0</v>
      </c>
    </row>
    <row r="1635" spans="1:12" ht="15">
      <c r="A1635" s="81" t="s">
        <v>2232</v>
      </c>
      <c r="B1635" s="80" t="s">
        <v>3290</v>
      </c>
      <c r="C1635" s="80">
        <v>2</v>
      </c>
      <c r="D1635" s="104">
        <v>0.001561793192397417</v>
      </c>
      <c r="E1635" s="104">
        <v>2.166895074645</v>
      </c>
      <c r="F1635" s="80" t="s">
        <v>2188</v>
      </c>
      <c r="G1635" s="80" t="b">
        <v>0</v>
      </c>
      <c r="H1635" s="80" t="b">
        <v>0</v>
      </c>
      <c r="I1635" s="80" t="b">
        <v>0</v>
      </c>
      <c r="J1635" s="80" t="b">
        <v>0</v>
      </c>
      <c r="K1635" s="80" t="b">
        <v>0</v>
      </c>
      <c r="L1635" s="80" t="b">
        <v>0</v>
      </c>
    </row>
    <row r="1636" spans="1:12" ht="15">
      <c r="A1636" s="81" t="s">
        <v>2363</v>
      </c>
      <c r="B1636" s="80" t="s">
        <v>2591</v>
      </c>
      <c r="C1636" s="80">
        <v>2</v>
      </c>
      <c r="D1636" s="104">
        <v>0.001561793192397417</v>
      </c>
      <c r="E1636" s="104">
        <v>2.4099331233312946</v>
      </c>
      <c r="F1636" s="80" t="s">
        <v>2188</v>
      </c>
      <c r="G1636" s="80" t="b">
        <v>0</v>
      </c>
      <c r="H1636" s="80" t="b">
        <v>0</v>
      </c>
      <c r="I1636" s="80" t="b">
        <v>0</v>
      </c>
      <c r="J1636" s="80" t="b">
        <v>0</v>
      </c>
      <c r="K1636" s="80" t="b">
        <v>0</v>
      </c>
      <c r="L1636" s="80" t="b">
        <v>0</v>
      </c>
    </row>
    <row r="1637" spans="1:12" ht="15">
      <c r="A1637" s="81" t="s">
        <v>2222</v>
      </c>
      <c r="B1637" s="80" t="s">
        <v>2215</v>
      </c>
      <c r="C1637" s="80">
        <v>2</v>
      </c>
      <c r="D1637" s="104">
        <v>0.001561793192397417</v>
      </c>
      <c r="E1637" s="104">
        <v>1.2795993548362885</v>
      </c>
      <c r="F1637" s="80" t="s">
        <v>2188</v>
      </c>
      <c r="G1637" s="80" t="b">
        <v>0</v>
      </c>
      <c r="H1637" s="80" t="b">
        <v>0</v>
      </c>
      <c r="I1637" s="80" t="b">
        <v>0</v>
      </c>
      <c r="J1637" s="80" t="b">
        <v>0</v>
      </c>
      <c r="K1637" s="80" t="b">
        <v>0</v>
      </c>
      <c r="L1637" s="80" t="b">
        <v>0</v>
      </c>
    </row>
    <row r="1638" spans="1:12" ht="15">
      <c r="A1638" s="81" t="s">
        <v>3300</v>
      </c>
      <c r="B1638" s="80" t="s">
        <v>2363</v>
      </c>
      <c r="C1638" s="80">
        <v>2</v>
      </c>
      <c r="D1638" s="104">
        <v>0.001561793192397417</v>
      </c>
      <c r="E1638" s="104">
        <v>2.710963118995276</v>
      </c>
      <c r="F1638" s="80" t="s">
        <v>2188</v>
      </c>
      <c r="G1638" s="80" t="b">
        <v>0</v>
      </c>
      <c r="H1638" s="80" t="b">
        <v>0</v>
      </c>
      <c r="I1638" s="80" t="b">
        <v>0</v>
      </c>
      <c r="J1638" s="80" t="b">
        <v>0</v>
      </c>
      <c r="K1638" s="80" t="b">
        <v>0</v>
      </c>
      <c r="L1638" s="80" t="b">
        <v>0</v>
      </c>
    </row>
    <row r="1639" spans="1:12" ht="15">
      <c r="A1639" s="81" t="s">
        <v>2881</v>
      </c>
      <c r="B1639" s="80" t="s">
        <v>3018</v>
      </c>
      <c r="C1639" s="80">
        <v>2</v>
      </c>
      <c r="D1639" s="104">
        <v>0.0021401409266221644</v>
      </c>
      <c r="E1639" s="104">
        <v>2.710963118995276</v>
      </c>
      <c r="F1639" s="80" t="s">
        <v>2188</v>
      </c>
      <c r="G1639" s="80" t="b">
        <v>0</v>
      </c>
      <c r="H1639" s="80" t="b">
        <v>0</v>
      </c>
      <c r="I1639" s="80" t="b">
        <v>0</v>
      </c>
      <c r="J1639" s="80" t="b">
        <v>0</v>
      </c>
      <c r="K1639" s="80" t="b">
        <v>0</v>
      </c>
      <c r="L1639" s="80" t="b">
        <v>0</v>
      </c>
    </row>
    <row r="1640" spans="1:12" ht="15">
      <c r="A1640" s="81" t="s">
        <v>2215</v>
      </c>
      <c r="B1640" s="80" t="s">
        <v>2240</v>
      </c>
      <c r="C1640" s="80">
        <v>2</v>
      </c>
      <c r="D1640" s="104">
        <v>0.001561793192397417</v>
      </c>
      <c r="E1640" s="104">
        <v>1.631781872947651</v>
      </c>
      <c r="F1640" s="80" t="s">
        <v>2188</v>
      </c>
      <c r="G1640" s="80" t="b">
        <v>0</v>
      </c>
      <c r="H1640" s="80" t="b">
        <v>0</v>
      </c>
      <c r="I1640" s="80" t="b">
        <v>0</v>
      </c>
      <c r="J1640" s="80" t="b">
        <v>0</v>
      </c>
      <c r="K1640" s="80" t="b">
        <v>0</v>
      </c>
      <c r="L1640" s="80" t="b">
        <v>0</v>
      </c>
    </row>
    <row r="1641" spans="1:12" ht="15">
      <c r="A1641" s="81" t="s">
        <v>3302</v>
      </c>
      <c r="B1641" s="80" t="s">
        <v>3198</v>
      </c>
      <c r="C1641" s="80">
        <v>2</v>
      </c>
      <c r="D1641" s="104">
        <v>0.001561793192397417</v>
      </c>
      <c r="E1641" s="104">
        <v>2.710963118995276</v>
      </c>
      <c r="F1641" s="80" t="s">
        <v>2188</v>
      </c>
      <c r="G1641" s="80" t="b">
        <v>0</v>
      </c>
      <c r="H1641" s="80" t="b">
        <v>0</v>
      </c>
      <c r="I1641" s="80" t="b">
        <v>0</v>
      </c>
      <c r="J1641" s="80" t="b">
        <v>0</v>
      </c>
      <c r="K1641" s="80" t="b">
        <v>0</v>
      </c>
      <c r="L1641" s="80" t="b">
        <v>0</v>
      </c>
    </row>
    <row r="1642" spans="1:12" ht="15">
      <c r="A1642" s="81" t="s">
        <v>2222</v>
      </c>
      <c r="B1642" s="80" t="s">
        <v>2348</v>
      </c>
      <c r="C1642" s="80">
        <v>2</v>
      </c>
      <c r="D1642" s="104">
        <v>0.001561793192397417</v>
      </c>
      <c r="E1642" s="104">
        <v>1.3587806008839132</v>
      </c>
      <c r="F1642" s="80" t="s">
        <v>2188</v>
      </c>
      <c r="G1642" s="80" t="b">
        <v>0</v>
      </c>
      <c r="H1642" s="80" t="b">
        <v>0</v>
      </c>
      <c r="I1642" s="80" t="b">
        <v>0</v>
      </c>
      <c r="J1642" s="80" t="b">
        <v>0</v>
      </c>
      <c r="K1642" s="80" t="b">
        <v>0</v>
      </c>
      <c r="L1642" s="80" t="b">
        <v>0</v>
      </c>
    </row>
    <row r="1643" spans="1:12" ht="15">
      <c r="A1643" s="81" t="s">
        <v>2504</v>
      </c>
      <c r="B1643" s="80" t="s">
        <v>2512</v>
      </c>
      <c r="C1643" s="80">
        <v>2</v>
      </c>
      <c r="D1643" s="104">
        <v>0.001561793192397417</v>
      </c>
      <c r="E1643" s="104">
        <v>1.9150831016512007</v>
      </c>
      <c r="F1643" s="80" t="s">
        <v>2188</v>
      </c>
      <c r="G1643" s="80" t="b">
        <v>0</v>
      </c>
      <c r="H1643" s="80" t="b">
        <v>1</v>
      </c>
      <c r="I1643" s="80" t="b">
        <v>0</v>
      </c>
      <c r="J1643" s="80" t="b">
        <v>0</v>
      </c>
      <c r="K1643" s="80" t="b">
        <v>0</v>
      </c>
      <c r="L1643" s="80" t="b">
        <v>0</v>
      </c>
    </row>
    <row r="1644" spans="1:12" ht="15">
      <c r="A1644" s="81" t="s">
        <v>2348</v>
      </c>
      <c r="B1644" s="80" t="s">
        <v>2519</v>
      </c>
      <c r="C1644" s="80">
        <v>2</v>
      </c>
      <c r="D1644" s="104">
        <v>0.001561793192397417</v>
      </c>
      <c r="E1644" s="104">
        <v>1.8359018556035758</v>
      </c>
      <c r="F1644" s="80" t="s">
        <v>2188</v>
      </c>
      <c r="G1644" s="80" t="b">
        <v>0</v>
      </c>
      <c r="H1644" s="80" t="b">
        <v>0</v>
      </c>
      <c r="I1644" s="80" t="b">
        <v>0</v>
      </c>
      <c r="J1644" s="80" t="b">
        <v>0</v>
      </c>
      <c r="K1644" s="80" t="b">
        <v>0</v>
      </c>
      <c r="L1644" s="80" t="b">
        <v>0</v>
      </c>
    </row>
    <row r="1645" spans="1:12" ht="15">
      <c r="A1645" s="81" t="s">
        <v>2239</v>
      </c>
      <c r="B1645" s="80" t="s">
        <v>2218</v>
      </c>
      <c r="C1645" s="80">
        <v>2</v>
      </c>
      <c r="D1645" s="104">
        <v>0.001561793192397417</v>
      </c>
      <c r="E1645" s="104">
        <v>1.807873132003332</v>
      </c>
      <c r="F1645" s="80" t="s">
        <v>2188</v>
      </c>
      <c r="G1645" s="80" t="b">
        <v>0</v>
      </c>
      <c r="H1645" s="80" t="b">
        <v>0</v>
      </c>
      <c r="I1645" s="80" t="b">
        <v>0</v>
      </c>
      <c r="J1645" s="80" t="b">
        <v>0</v>
      </c>
      <c r="K1645" s="80" t="b">
        <v>0</v>
      </c>
      <c r="L1645" s="80" t="b">
        <v>0</v>
      </c>
    </row>
    <row r="1646" spans="1:12" ht="15">
      <c r="A1646" s="81" t="s">
        <v>2978</v>
      </c>
      <c r="B1646" s="80" t="s">
        <v>3254</v>
      </c>
      <c r="C1646" s="80">
        <v>2</v>
      </c>
      <c r="D1646" s="104">
        <v>0.001561793192397417</v>
      </c>
      <c r="E1646" s="104">
        <v>2.710963118995276</v>
      </c>
      <c r="F1646" s="80" t="s">
        <v>2188</v>
      </c>
      <c r="G1646" s="80" t="b">
        <v>0</v>
      </c>
      <c r="H1646" s="80" t="b">
        <v>0</v>
      </c>
      <c r="I1646" s="80" t="b">
        <v>0</v>
      </c>
      <c r="J1646" s="80" t="b">
        <v>0</v>
      </c>
      <c r="K1646" s="80" t="b">
        <v>0</v>
      </c>
      <c r="L1646" s="80" t="b">
        <v>0</v>
      </c>
    </row>
    <row r="1647" spans="1:12" ht="15">
      <c r="A1647" s="81" t="s">
        <v>2793</v>
      </c>
      <c r="B1647" s="80" t="s">
        <v>2512</v>
      </c>
      <c r="C1647" s="80">
        <v>2</v>
      </c>
      <c r="D1647" s="104">
        <v>0.001561793192397417</v>
      </c>
      <c r="E1647" s="104">
        <v>2.136931851267557</v>
      </c>
      <c r="F1647" s="80" t="s">
        <v>2188</v>
      </c>
      <c r="G1647" s="80" t="b">
        <v>0</v>
      </c>
      <c r="H1647" s="80" t="b">
        <v>0</v>
      </c>
      <c r="I1647" s="80" t="b">
        <v>0</v>
      </c>
      <c r="J1647" s="80" t="b">
        <v>0</v>
      </c>
      <c r="K1647" s="80" t="b">
        <v>0</v>
      </c>
      <c r="L1647" s="80" t="b">
        <v>0</v>
      </c>
    </row>
    <row r="1648" spans="1:12" ht="15">
      <c r="A1648" s="81" t="s">
        <v>2589</v>
      </c>
      <c r="B1648" s="80" t="s">
        <v>3042</v>
      </c>
      <c r="C1648" s="80">
        <v>2</v>
      </c>
      <c r="D1648" s="104">
        <v>0.0021401409266221644</v>
      </c>
      <c r="E1648" s="104">
        <v>2.5348718599395945</v>
      </c>
      <c r="F1648" s="80" t="s">
        <v>2188</v>
      </c>
      <c r="G1648" s="80" t="b">
        <v>0</v>
      </c>
      <c r="H1648" s="80" t="b">
        <v>0</v>
      </c>
      <c r="I1648" s="80" t="b">
        <v>0</v>
      </c>
      <c r="J1648" s="80" t="b">
        <v>0</v>
      </c>
      <c r="K1648" s="80" t="b">
        <v>0</v>
      </c>
      <c r="L1648" s="80" t="b">
        <v>0</v>
      </c>
    </row>
    <row r="1649" spans="1:12" ht="15">
      <c r="A1649" s="81" t="s">
        <v>3086</v>
      </c>
      <c r="B1649" s="80" t="s">
        <v>2682</v>
      </c>
      <c r="C1649" s="80">
        <v>2</v>
      </c>
      <c r="D1649" s="104">
        <v>0.001561793192397417</v>
      </c>
      <c r="E1649" s="104">
        <v>2.710963118995276</v>
      </c>
      <c r="F1649" s="80" t="s">
        <v>2188</v>
      </c>
      <c r="G1649" s="80" t="b">
        <v>0</v>
      </c>
      <c r="H1649" s="80" t="b">
        <v>0</v>
      </c>
      <c r="I1649" s="80" t="b">
        <v>0</v>
      </c>
      <c r="J1649" s="80" t="b">
        <v>0</v>
      </c>
      <c r="K1649" s="80" t="b">
        <v>0</v>
      </c>
      <c r="L1649" s="80" t="b">
        <v>0</v>
      </c>
    </row>
    <row r="1650" spans="1:12" ht="15">
      <c r="A1650" s="81" t="s">
        <v>2682</v>
      </c>
      <c r="B1650" s="80" t="s">
        <v>3249</v>
      </c>
      <c r="C1650" s="80">
        <v>2</v>
      </c>
      <c r="D1650" s="104">
        <v>0.001561793192397417</v>
      </c>
      <c r="E1650" s="104">
        <v>2.710963118995276</v>
      </c>
      <c r="F1650" s="80" t="s">
        <v>2188</v>
      </c>
      <c r="G1650" s="80" t="b">
        <v>0</v>
      </c>
      <c r="H1650" s="80" t="b">
        <v>0</v>
      </c>
      <c r="I1650" s="80" t="b">
        <v>0</v>
      </c>
      <c r="J1650" s="80" t="b">
        <v>0</v>
      </c>
      <c r="K1650" s="80" t="b">
        <v>0</v>
      </c>
      <c r="L1650" s="80" t="b">
        <v>0</v>
      </c>
    </row>
    <row r="1651" spans="1:12" ht="15">
      <c r="A1651" s="81" t="s">
        <v>2735</v>
      </c>
      <c r="B1651" s="80" t="s">
        <v>2855</v>
      </c>
      <c r="C1651" s="80">
        <v>2</v>
      </c>
      <c r="D1651" s="104">
        <v>0.0021401409266221644</v>
      </c>
      <c r="E1651" s="104">
        <v>2.358780600883913</v>
      </c>
      <c r="F1651" s="80" t="s">
        <v>2188</v>
      </c>
      <c r="G1651" s="80" t="b">
        <v>0</v>
      </c>
      <c r="H1651" s="80" t="b">
        <v>0</v>
      </c>
      <c r="I1651" s="80" t="b">
        <v>0</v>
      </c>
      <c r="J1651" s="80" t="b">
        <v>0</v>
      </c>
      <c r="K1651" s="80" t="b">
        <v>0</v>
      </c>
      <c r="L1651" s="80" t="b">
        <v>0</v>
      </c>
    </row>
    <row r="1652" spans="1:12" ht="15">
      <c r="A1652" s="81" t="s">
        <v>2939</v>
      </c>
      <c r="B1652" s="80" t="s">
        <v>3004</v>
      </c>
      <c r="C1652" s="80">
        <v>2</v>
      </c>
      <c r="D1652" s="104">
        <v>0.0021401409266221644</v>
      </c>
      <c r="E1652" s="104">
        <v>2.710963118995276</v>
      </c>
      <c r="F1652" s="80" t="s">
        <v>2188</v>
      </c>
      <c r="G1652" s="80" t="b">
        <v>0</v>
      </c>
      <c r="H1652" s="80" t="b">
        <v>0</v>
      </c>
      <c r="I1652" s="80" t="b">
        <v>0</v>
      </c>
      <c r="J1652" s="80" t="b">
        <v>0</v>
      </c>
      <c r="K1652" s="80" t="b">
        <v>0</v>
      </c>
      <c r="L1652" s="80" t="b">
        <v>0</v>
      </c>
    </row>
    <row r="1653" spans="1:12" ht="15">
      <c r="A1653" s="81" t="s">
        <v>2972</v>
      </c>
      <c r="B1653" s="80" t="s">
        <v>2980</v>
      </c>
      <c r="C1653" s="80">
        <v>2</v>
      </c>
      <c r="D1653" s="104">
        <v>0.001561793192397417</v>
      </c>
      <c r="E1653" s="104">
        <v>2.710963118995276</v>
      </c>
      <c r="F1653" s="80" t="s">
        <v>2188</v>
      </c>
      <c r="G1653" s="80" t="b">
        <v>0</v>
      </c>
      <c r="H1653" s="80" t="b">
        <v>0</v>
      </c>
      <c r="I1653" s="80" t="b">
        <v>0</v>
      </c>
      <c r="J1653" s="80" t="b">
        <v>0</v>
      </c>
      <c r="K1653" s="80" t="b">
        <v>0</v>
      </c>
      <c r="L1653" s="80" t="b">
        <v>0</v>
      </c>
    </row>
    <row r="1654" spans="1:12" ht="15">
      <c r="A1654" s="81" t="s">
        <v>3157</v>
      </c>
      <c r="B1654" s="80" t="s">
        <v>3247</v>
      </c>
      <c r="C1654" s="80">
        <v>2</v>
      </c>
      <c r="D1654" s="104">
        <v>0.001561793192397417</v>
      </c>
      <c r="E1654" s="104">
        <v>2.710963118995276</v>
      </c>
      <c r="F1654" s="80" t="s">
        <v>2188</v>
      </c>
      <c r="G1654" s="80" t="b">
        <v>0</v>
      </c>
      <c r="H1654" s="80" t="b">
        <v>0</v>
      </c>
      <c r="I1654" s="80" t="b">
        <v>0</v>
      </c>
      <c r="J1654" s="80" t="b">
        <v>0</v>
      </c>
      <c r="K1654" s="80" t="b">
        <v>0</v>
      </c>
      <c r="L1654" s="80" t="b">
        <v>0</v>
      </c>
    </row>
    <row r="1655" spans="1:12" ht="15">
      <c r="A1655" s="81" t="s">
        <v>2598</v>
      </c>
      <c r="B1655" s="80" t="s">
        <v>2663</v>
      </c>
      <c r="C1655" s="80">
        <v>2</v>
      </c>
      <c r="D1655" s="104">
        <v>0.001561793192397417</v>
      </c>
      <c r="E1655" s="104">
        <v>2.710963118995276</v>
      </c>
      <c r="F1655" s="80" t="s">
        <v>2188</v>
      </c>
      <c r="G1655" s="80" t="b">
        <v>0</v>
      </c>
      <c r="H1655" s="80" t="b">
        <v>1</v>
      </c>
      <c r="I1655" s="80" t="b">
        <v>0</v>
      </c>
      <c r="J1655" s="80" t="b">
        <v>0</v>
      </c>
      <c r="K1655" s="80" t="b">
        <v>0</v>
      </c>
      <c r="L1655" s="80" t="b">
        <v>0</v>
      </c>
    </row>
    <row r="1656" spans="1:12" ht="15">
      <c r="A1656" s="81" t="s">
        <v>3004</v>
      </c>
      <c r="B1656" s="80" t="s">
        <v>2782</v>
      </c>
      <c r="C1656" s="80">
        <v>2</v>
      </c>
      <c r="D1656" s="104">
        <v>0.0021401409266221644</v>
      </c>
      <c r="E1656" s="104">
        <v>2.710963118995276</v>
      </c>
      <c r="F1656" s="80" t="s">
        <v>2188</v>
      </c>
      <c r="G1656" s="80" t="b">
        <v>0</v>
      </c>
      <c r="H1656" s="80" t="b">
        <v>0</v>
      </c>
      <c r="I1656" s="80" t="b">
        <v>0</v>
      </c>
      <c r="J1656" s="80" t="b">
        <v>0</v>
      </c>
      <c r="K1656" s="80" t="b">
        <v>0</v>
      </c>
      <c r="L1656" s="80" t="b">
        <v>0</v>
      </c>
    </row>
    <row r="1657" spans="1:12" ht="15">
      <c r="A1657" s="81" t="s">
        <v>2713</v>
      </c>
      <c r="B1657" s="80" t="s">
        <v>2328</v>
      </c>
      <c r="C1657" s="80">
        <v>2</v>
      </c>
      <c r="D1657" s="104">
        <v>0.0021401409266221644</v>
      </c>
      <c r="E1657" s="104">
        <v>2.5348718599395945</v>
      </c>
      <c r="F1657" s="80" t="s">
        <v>2188</v>
      </c>
      <c r="G1657" s="80" t="b">
        <v>0</v>
      </c>
      <c r="H1657" s="80" t="b">
        <v>0</v>
      </c>
      <c r="I1657" s="80" t="b">
        <v>0</v>
      </c>
      <c r="J1657" s="80" t="b">
        <v>0</v>
      </c>
      <c r="K1657" s="80" t="b">
        <v>0</v>
      </c>
      <c r="L1657" s="80" t="b">
        <v>0</v>
      </c>
    </row>
    <row r="1658" spans="1:12" ht="15">
      <c r="A1658" s="81" t="s">
        <v>2394</v>
      </c>
      <c r="B1658" s="80" t="s">
        <v>2239</v>
      </c>
      <c r="C1658" s="80">
        <v>2</v>
      </c>
      <c r="D1658" s="104">
        <v>0.001561793192397417</v>
      </c>
      <c r="E1658" s="104">
        <v>2.4099331233312946</v>
      </c>
      <c r="F1658" s="80" t="s">
        <v>2188</v>
      </c>
      <c r="G1658" s="80" t="b">
        <v>0</v>
      </c>
      <c r="H1658" s="80" t="b">
        <v>0</v>
      </c>
      <c r="I1658" s="80" t="b">
        <v>0</v>
      </c>
      <c r="J1658" s="80" t="b">
        <v>0</v>
      </c>
      <c r="K1658" s="80" t="b">
        <v>0</v>
      </c>
      <c r="L1658" s="80" t="b">
        <v>0</v>
      </c>
    </row>
    <row r="1659" spans="1:12" ht="15">
      <c r="A1659" s="81" t="s">
        <v>2630</v>
      </c>
      <c r="B1659" s="80" t="s">
        <v>2881</v>
      </c>
      <c r="C1659" s="80">
        <v>2</v>
      </c>
      <c r="D1659" s="104">
        <v>0.0021401409266221644</v>
      </c>
      <c r="E1659" s="104">
        <v>2.710963118995276</v>
      </c>
      <c r="F1659" s="80" t="s">
        <v>2188</v>
      </c>
      <c r="G1659" s="80" t="b">
        <v>0</v>
      </c>
      <c r="H1659" s="80" t="b">
        <v>0</v>
      </c>
      <c r="I1659" s="80" t="b">
        <v>0</v>
      </c>
      <c r="J1659" s="80" t="b">
        <v>0</v>
      </c>
      <c r="K1659" s="80" t="b">
        <v>0</v>
      </c>
      <c r="L1659" s="80" t="b">
        <v>0</v>
      </c>
    </row>
    <row r="1660" spans="1:12" ht="15">
      <c r="A1660" s="81" t="s">
        <v>2664</v>
      </c>
      <c r="B1660" s="80" t="s">
        <v>2591</v>
      </c>
      <c r="C1660" s="80">
        <v>2</v>
      </c>
      <c r="D1660" s="104">
        <v>0.001561793192397417</v>
      </c>
      <c r="E1660" s="104">
        <v>2.4099331233312946</v>
      </c>
      <c r="F1660" s="80" t="s">
        <v>2188</v>
      </c>
      <c r="G1660" s="80" t="b">
        <v>0</v>
      </c>
      <c r="H1660" s="80" t="b">
        <v>0</v>
      </c>
      <c r="I1660" s="80" t="b">
        <v>0</v>
      </c>
      <c r="J1660" s="80" t="b">
        <v>0</v>
      </c>
      <c r="K1660" s="80" t="b">
        <v>0</v>
      </c>
      <c r="L1660" s="80" t="b">
        <v>0</v>
      </c>
    </row>
    <row r="1661" spans="1:12" ht="15">
      <c r="A1661" s="81" t="s">
        <v>2720</v>
      </c>
      <c r="B1661" s="80" t="s">
        <v>3240</v>
      </c>
      <c r="C1661" s="80">
        <v>2</v>
      </c>
      <c r="D1661" s="104">
        <v>0.0021401409266221644</v>
      </c>
      <c r="E1661" s="104">
        <v>2.710963118995276</v>
      </c>
      <c r="F1661" s="80" t="s">
        <v>2188</v>
      </c>
      <c r="G1661" s="80" t="b">
        <v>0</v>
      </c>
      <c r="H1661" s="80" t="b">
        <v>0</v>
      </c>
      <c r="I1661" s="80" t="b">
        <v>0</v>
      </c>
      <c r="J1661" s="80" t="b">
        <v>0</v>
      </c>
      <c r="K1661" s="80" t="b">
        <v>0</v>
      </c>
      <c r="L1661" s="80" t="b">
        <v>0</v>
      </c>
    </row>
    <row r="1662" spans="1:12" ht="15">
      <c r="A1662" s="81" t="s">
        <v>2949</v>
      </c>
      <c r="B1662" s="80" t="s">
        <v>2990</v>
      </c>
      <c r="C1662" s="80">
        <v>2</v>
      </c>
      <c r="D1662" s="104">
        <v>0.001561793192397417</v>
      </c>
      <c r="E1662" s="104">
        <v>2.710963118995276</v>
      </c>
      <c r="F1662" s="80" t="s">
        <v>2188</v>
      </c>
      <c r="G1662" s="80" t="b">
        <v>0</v>
      </c>
      <c r="H1662" s="80" t="b">
        <v>0</v>
      </c>
      <c r="I1662" s="80" t="b">
        <v>0</v>
      </c>
      <c r="J1662" s="80" t="b">
        <v>0</v>
      </c>
      <c r="K1662" s="80" t="b">
        <v>0</v>
      </c>
      <c r="L1662" s="80" t="b">
        <v>0</v>
      </c>
    </row>
    <row r="1663" spans="1:12" ht="15">
      <c r="A1663" s="81" t="s">
        <v>2231</v>
      </c>
      <c r="B1663" s="80" t="s">
        <v>2219</v>
      </c>
      <c r="C1663" s="80">
        <v>2</v>
      </c>
      <c r="D1663" s="104">
        <v>0.0021401409266221644</v>
      </c>
      <c r="E1663" s="104">
        <v>2.2338418642756133</v>
      </c>
      <c r="F1663" s="80" t="s">
        <v>2188</v>
      </c>
      <c r="G1663" s="80" t="b">
        <v>0</v>
      </c>
      <c r="H1663" s="80" t="b">
        <v>0</v>
      </c>
      <c r="I1663" s="80" t="b">
        <v>0</v>
      </c>
      <c r="J1663" s="80" t="b">
        <v>0</v>
      </c>
      <c r="K1663" s="80" t="b">
        <v>0</v>
      </c>
      <c r="L1663" s="80" t="b">
        <v>0</v>
      </c>
    </row>
    <row r="1664" spans="1:12" ht="15">
      <c r="A1664" s="81" t="s">
        <v>2224</v>
      </c>
      <c r="B1664" s="80" t="s">
        <v>2348</v>
      </c>
      <c r="C1664" s="80">
        <v>2</v>
      </c>
      <c r="D1664" s="104">
        <v>0.001561793192397417</v>
      </c>
      <c r="E1664" s="104">
        <v>1.4099331233312944</v>
      </c>
      <c r="F1664" s="80" t="s">
        <v>2188</v>
      </c>
      <c r="G1664" s="80" t="b">
        <v>0</v>
      </c>
      <c r="H1664" s="80" t="b">
        <v>0</v>
      </c>
      <c r="I1664" s="80" t="b">
        <v>0</v>
      </c>
      <c r="J1664" s="80" t="b">
        <v>0</v>
      </c>
      <c r="K1664" s="80" t="b">
        <v>0</v>
      </c>
      <c r="L1664" s="80" t="b">
        <v>0</v>
      </c>
    </row>
    <row r="1665" spans="1:12" ht="15">
      <c r="A1665" s="81" t="s">
        <v>3220</v>
      </c>
      <c r="B1665" s="80" t="s">
        <v>2602</v>
      </c>
      <c r="C1665" s="80">
        <v>2</v>
      </c>
      <c r="D1665" s="104">
        <v>0.001561793192397417</v>
      </c>
      <c r="E1665" s="104">
        <v>2.4099331233312946</v>
      </c>
      <c r="F1665" s="80" t="s">
        <v>2188</v>
      </c>
      <c r="G1665" s="80" t="b">
        <v>0</v>
      </c>
      <c r="H1665" s="80" t="b">
        <v>0</v>
      </c>
      <c r="I1665" s="80" t="b">
        <v>0</v>
      </c>
      <c r="J1665" s="80" t="b">
        <v>0</v>
      </c>
      <c r="K1665" s="80" t="b">
        <v>0</v>
      </c>
      <c r="L1665" s="80" t="b">
        <v>0</v>
      </c>
    </row>
    <row r="1666" spans="1:12" ht="15">
      <c r="A1666" s="81" t="s">
        <v>2936</v>
      </c>
      <c r="B1666" s="80" t="s">
        <v>3217</v>
      </c>
      <c r="C1666" s="80">
        <v>2</v>
      </c>
      <c r="D1666" s="104">
        <v>0.001561793192397417</v>
      </c>
      <c r="E1666" s="104">
        <v>2.710963118995276</v>
      </c>
      <c r="F1666" s="80" t="s">
        <v>2188</v>
      </c>
      <c r="G1666" s="80" t="b">
        <v>0</v>
      </c>
      <c r="H1666" s="80" t="b">
        <v>0</v>
      </c>
      <c r="I1666" s="80" t="b">
        <v>0</v>
      </c>
      <c r="J1666" s="80" t="b">
        <v>0</v>
      </c>
      <c r="K1666" s="80" t="b">
        <v>0</v>
      </c>
      <c r="L1666" s="80" t="b">
        <v>0</v>
      </c>
    </row>
    <row r="1667" spans="1:12" ht="15">
      <c r="A1667" s="81" t="s">
        <v>2323</v>
      </c>
      <c r="B1667" s="80" t="s">
        <v>2490</v>
      </c>
      <c r="C1667" s="80">
        <v>2</v>
      </c>
      <c r="D1667" s="104">
        <v>0.0021401409266221644</v>
      </c>
      <c r="E1667" s="104">
        <v>2.5348718599395945</v>
      </c>
      <c r="F1667" s="80" t="s">
        <v>2188</v>
      </c>
      <c r="G1667" s="80" t="b">
        <v>0</v>
      </c>
      <c r="H1667" s="80" t="b">
        <v>0</v>
      </c>
      <c r="I1667" s="80" t="b">
        <v>0</v>
      </c>
      <c r="J1667" s="80" t="b">
        <v>0</v>
      </c>
      <c r="K1667" s="80" t="b">
        <v>0</v>
      </c>
      <c r="L1667" s="80" t="b">
        <v>0</v>
      </c>
    </row>
    <row r="1668" spans="1:12" ht="15">
      <c r="A1668" s="81" t="s">
        <v>2259</v>
      </c>
      <c r="B1668" s="80" t="s">
        <v>2213</v>
      </c>
      <c r="C1668" s="80">
        <v>2</v>
      </c>
      <c r="D1668" s="104">
        <v>0.001561793192397417</v>
      </c>
      <c r="E1668" s="104">
        <v>0.8784542062890394</v>
      </c>
      <c r="F1668" s="80" t="s">
        <v>2188</v>
      </c>
      <c r="G1668" s="80" t="b">
        <v>0</v>
      </c>
      <c r="H1668" s="80" t="b">
        <v>0</v>
      </c>
      <c r="I1668" s="80" t="b">
        <v>0</v>
      </c>
      <c r="J1668" s="80" t="b">
        <v>0</v>
      </c>
      <c r="K1668" s="80" t="b">
        <v>0</v>
      </c>
      <c r="L1668" s="80" t="b">
        <v>0</v>
      </c>
    </row>
    <row r="1669" spans="1:12" ht="15">
      <c r="A1669" s="81" t="s">
        <v>2218</v>
      </c>
      <c r="B1669" s="80" t="s">
        <v>2218</v>
      </c>
      <c r="C1669" s="80">
        <v>2</v>
      </c>
      <c r="D1669" s="104">
        <v>0.001561793192397417</v>
      </c>
      <c r="E1669" s="104">
        <v>1.5068431363393509</v>
      </c>
      <c r="F1669" s="80" t="s">
        <v>2188</v>
      </c>
      <c r="G1669" s="80" t="b">
        <v>0</v>
      </c>
      <c r="H1669" s="80" t="b">
        <v>0</v>
      </c>
      <c r="I1669" s="80" t="b">
        <v>0</v>
      </c>
      <c r="J1669" s="80" t="b">
        <v>0</v>
      </c>
      <c r="K1669" s="80" t="b">
        <v>0</v>
      </c>
      <c r="L1669" s="80" t="b">
        <v>0</v>
      </c>
    </row>
    <row r="1670" spans="1:12" ht="15">
      <c r="A1670" s="81" t="s">
        <v>3254</v>
      </c>
      <c r="B1670" s="80" t="s">
        <v>2928</v>
      </c>
      <c r="C1670" s="80">
        <v>2</v>
      </c>
      <c r="D1670" s="104">
        <v>0.001561793192397417</v>
      </c>
      <c r="E1670" s="104">
        <v>2.710963118995276</v>
      </c>
      <c r="F1670" s="80" t="s">
        <v>2188</v>
      </c>
      <c r="G1670" s="80" t="b">
        <v>0</v>
      </c>
      <c r="H1670" s="80" t="b">
        <v>0</v>
      </c>
      <c r="I1670" s="80" t="b">
        <v>0</v>
      </c>
      <c r="J1670" s="80" t="b">
        <v>0</v>
      </c>
      <c r="K1670" s="80" t="b">
        <v>0</v>
      </c>
      <c r="L1670" s="80" t="b">
        <v>0</v>
      </c>
    </row>
    <row r="1671" spans="1:12" ht="15">
      <c r="A1671" s="81" t="s">
        <v>2512</v>
      </c>
      <c r="B1671" s="80" t="s">
        <v>3036</v>
      </c>
      <c r="C1671" s="80">
        <v>2</v>
      </c>
      <c r="D1671" s="104">
        <v>0.001561793192397417</v>
      </c>
      <c r="E1671" s="104">
        <v>2.313023110323238</v>
      </c>
      <c r="F1671" s="80" t="s">
        <v>2188</v>
      </c>
      <c r="G1671" s="80" t="b">
        <v>0</v>
      </c>
      <c r="H1671" s="80" t="b">
        <v>0</v>
      </c>
      <c r="I1671" s="80" t="b">
        <v>0</v>
      </c>
      <c r="J1671" s="80" t="b">
        <v>0</v>
      </c>
      <c r="K1671" s="80" t="b">
        <v>0</v>
      </c>
      <c r="L1671" s="80" t="b">
        <v>0</v>
      </c>
    </row>
    <row r="1672" spans="1:12" ht="15">
      <c r="A1672" s="81" t="s">
        <v>2216</v>
      </c>
      <c r="B1672" s="80" t="s">
        <v>2735</v>
      </c>
      <c r="C1672" s="80">
        <v>2</v>
      </c>
      <c r="D1672" s="104">
        <v>0.0021401409266221644</v>
      </c>
      <c r="E1672" s="104">
        <v>1.8359018556035758</v>
      </c>
      <c r="F1672" s="80" t="s">
        <v>2188</v>
      </c>
      <c r="G1672" s="80" t="b">
        <v>0</v>
      </c>
      <c r="H1672" s="80" t="b">
        <v>0</v>
      </c>
      <c r="I1672" s="80" t="b">
        <v>0</v>
      </c>
      <c r="J1672" s="80" t="b">
        <v>0</v>
      </c>
      <c r="K1672" s="80" t="b">
        <v>0</v>
      </c>
      <c r="L1672" s="80" t="b">
        <v>0</v>
      </c>
    </row>
    <row r="1673" spans="1:12" ht="15">
      <c r="A1673" s="81" t="s">
        <v>2446</v>
      </c>
      <c r="B1673" s="80" t="s">
        <v>2839</v>
      </c>
      <c r="C1673" s="80">
        <v>2</v>
      </c>
      <c r="D1673" s="104">
        <v>0.0021401409266221644</v>
      </c>
      <c r="E1673" s="104">
        <v>2.4099331233312946</v>
      </c>
      <c r="F1673" s="80" t="s">
        <v>2188</v>
      </c>
      <c r="G1673" s="80" t="b">
        <v>0</v>
      </c>
      <c r="H1673" s="80" t="b">
        <v>0</v>
      </c>
      <c r="I1673" s="80" t="b">
        <v>0</v>
      </c>
      <c r="J1673" s="80" t="b">
        <v>0</v>
      </c>
      <c r="K1673" s="80" t="b">
        <v>0</v>
      </c>
      <c r="L1673" s="80" t="b">
        <v>0</v>
      </c>
    </row>
    <row r="1674" spans="1:12" ht="15">
      <c r="A1674" s="81" t="s">
        <v>3290</v>
      </c>
      <c r="B1674" s="80" t="s">
        <v>3220</v>
      </c>
      <c r="C1674" s="80">
        <v>2</v>
      </c>
      <c r="D1674" s="104">
        <v>0.001561793192397417</v>
      </c>
      <c r="E1674" s="104">
        <v>2.710963118995276</v>
      </c>
      <c r="F1674" s="80" t="s">
        <v>2188</v>
      </c>
      <c r="G1674" s="80" t="b">
        <v>0</v>
      </c>
      <c r="H1674" s="80" t="b">
        <v>0</v>
      </c>
      <c r="I1674" s="80" t="b">
        <v>0</v>
      </c>
      <c r="J1674" s="80" t="b">
        <v>0</v>
      </c>
      <c r="K1674" s="80" t="b">
        <v>0</v>
      </c>
      <c r="L1674" s="80" t="b">
        <v>0</v>
      </c>
    </row>
    <row r="1675" spans="1:12" ht="15">
      <c r="A1675" s="81" t="s">
        <v>2479</v>
      </c>
      <c r="B1675" s="80" t="s">
        <v>3242</v>
      </c>
      <c r="C1675" s="80">
        <v>2</v>
      </c>
      <c r="D1675" s="104">
        <v>0.0021401409266221644</v>
      </c>
      <c r="E1675" s="104">
        <v>2.2338418642756133</v>
      </c>
      <c r="F1675" s="80" t="s">
        <v>2188</v>
      </c>
      <c r="G1675" s="80" t="b">
        <v>0</v>
      </c>
      <c r="H1675" s="80" t="b">
        <v>0</v>
      </c>
      <c r="I1675" s="80" t="b">
        <v>0</v>
      </c>
      <c r="J1675" s="80" t="b">
        <v>0</v>
      </c>
      <c r="K1675" s="80" t="b">
        <v>0</v>
      </c>
      <c r="L1675" s="80" t="b">
        <v>0</v>
      </c>
    </row>
    <row r="1676" spans="1:12" ht="15">
      <c r="A1676" s="81" t="s">
        <v>2996</v>
      </c>
      <c r="B1676" s="80" t="s">
        <v>2348</v>
      </c>
      <c r="C1676" s="80">
        <v>2</v>
      </c>
      <c r="D1676" s="104">
        <v>0.001561793192397417</v>
      </c>
      <c r="E1676" s="104">
        <v>2.0119931146592567</v>
      </c>
      <c r="F1676" s="80" t="s">
        <v>2188</v>
      </c>
      <c r="G1676" s="80" t="b">
        <v>0</v>
      </c>
      <c r="H1676" s="80" t="b">
        <v>0</v>
      </c>
      <c r="I1676" s="80" t="b">
        <v>0</v>
      </c>
      <c r="J1676" s="80" t="b">
        <v>0</v>
      </c>
      <c r="K1676" s="80" t="b">
        <v>0</v>
      </c>
      <c r="L1676" s="80" t="b">
        <v>0</v>
      </c>
    </row>
    <row r="1677" spans="1:12" ht="15">
      <c r="A1677" s="81" t="s">
        <v>3036</v>
      </c>
      <c r="B1677" s="80" t="s">
        <v>2232</v>
      </c>
      <c r="C1677" s="80">
        <v>2</v>
      </c>
      <c r="D1677" s="104">
        <v>0.001561793192397417</v>
      </c>
      <c r="E1677" s="104">
        <v>2.166895074645</v>
      </c>
      <c r="F1677" s="80" t="s">
        <v>2188</v>
      </c>
      <c r="G1677" s="80" t="b">
        <v>0</v>
      </c>
      <c r="H1677" s="80" t="b">
        <v>0</v>
      </c>
      <c r="I1677" s="80" t="b">
        <v>0</v>
      </c>
      <c r="J1677" s="80" t="b">
        <v>0</v>
      </c>
      <c r="K1677" s="80" t="b">
        <v>0</v>
      </c>
      <c r="L1677" s="80" t="b">
        <v>0</v>
      </c>
    </row>
    <row r="1678" spans="1:12" ht="15">
      <c r="A1678" s="81" t="s">
        <v>2218</v>
      </c>
      <c r="B1678" s="80" t="s">
        <v>2257</v>
      </c>
      <c r="C1678" s="80">
        <v>2</v>
      </c>
      <c r="D1678" s="104">
        <v>0.001561793192397417</v>
      </c>
      <c r="E1678" s="104">
        <v>1.9328118686116322</v>
      </c>
      <c r="F1678" s="80" t="s">
        <v>2188</v>
      </c>
      <c r="G1678" s="80" t="b">
        <v>0</v>
      </c>
      <c r="H1678" s="80" t="b">
        <v>0</v>
      </c>
      <c r="I1678" s="80" t="b">
        <v>0</v>
      </c>
      <c r="J1678" s="80" t="b">
        <v>0</v>
      </c>
      <c r="K1678" s="80" t="b">
        <v>0</v>
      </c>
      <c r="L1678" s="80" t="b">
        <v>0</v>
      </c>
    </row>
    <row r="1679" spans="1:12" ht="15">
      <c r="A1679" s="81" t="s">
        <v>3094</v>
      </c>
      <c r="B1679" s="80" t="s">
        <v>2995</v>
      </c>
      <c r="C1679" s="80">
        <v>2</v>
      </c>
      <c r="D1679" s="104">
        <v>0.0021401409266221644</v>
      </c>
      <c r="E1679" s="104">
        <v>2.710963118995276</v>
      </c>
      <c r="F1679" s="80" t="s">
        <v>2188</v>
      </c>
      <c r="G1679" s="80" t="b">
        <v>0</v>
      </c>
      <c r="H1679" s="80" t="b">
        <v>0</v>
      </c>
      <c r="I1679" s="80" t="b">
        <v>0</v>
      </c>
      <c r="J1679" s="80" t="b">
        <v>0</v>
      </c>
      <c r="K1679" s="80" t="b">
        <v>0</v>
      </c>
      <c r="L1679" s="80" t="b">
        <v>0</v>
      </c>
    </row>
    <row r="1680" spans="1:12" ht="15">
      <c r="A1680" s="81" t="s">
        <v>2340</v>
      </c>
      <c r="B1680" s="80" t="s">
        <v>2224</v>
      </c>
      <c r="C1680" s="80">
        <v>2</v>
      </c>
      <c r="D1680" s="104">
        <v>0.001561793192397417</v>
      </c>
      <c r="E1680" s="104">
        <v>1.4099331233312944</v>
      </c>
      <c r="F1680" s="80" t="s">
        <v>2188</v>
      </c>
      <c r="G1680" s="80" t="b">
        <v>0</v>
      </c>
      <c r="H1680" s="80" t="b">
        <v>0</v>
      </c>
      <c r="I1680" s="80" t="b">
        <v>0</v>
      </c>
      <c r="J1680" s="80" t="b">
        <v>0</v>
      </c>
      <c r="K1680" s="80" t="b">
        <v>0</v>
      </c>
      <c r="L1680" s="80" t="b">
        <v>0</v>
      </c>
    </row>
    <row r="1681" spans="1:12" ht="15">
      <c r="A1681" s="81" t="s">
        <v>2512</v>
      </c>
      <c r="B1681" s="80" t="s">
        <v>3045</v>
      </c>
      <c r="C1681" s="80">
        <v>2</v>
      </c>
      <c r="D1681" s="104">
        <v>0.001561793192397417</v>
      </c>
      <c r="E1681" s="104">
        <v>2.313023110323238</v>
      </c>
      <c r="F1681" s="80" t="s">
        <v>2188</v>
      </c>
      <c r="G1681" s="80" t="b">
        <v>0</v>
      </c>
      <c r="H1681" s="80" t="b">
        <v>0</v>
      </c>
      <c r="I1681" s="80" t="b">
        <v>0</v>
      </c>
      <c r="J1681" s="80" t="b">
        <v>0</v>
      </c>
      <c r="K1681" s="80" t="b">
        <v>0</v>
      </c>
      <c r="L1681" s="80" t="b">
        <v>0</v>
      </c>
    </row>
    <row r="1682" spans="1:12" ht="15">
      <c r="A1682" s="81" t="s">
        <v>2213</v>
      </c>
      <c r="B1682" s="80" t="s">
        <v>2214</v>
      </c>
      <c r="C1682" s="80">
        <v>17</v>
      </c>
      <c r="D1682" s="104">
        <v>0.002370460749837351</v>
      </c>
      <c r="E1682" s="104">
        <v>1.448121730340494</v>
      </c>
      <c r="F1682" s="80" t="s">
        <v>2189</v>
      </c>
      <c r="G1682" s="80" t="b">
        <v>0</v>
      </c>
      <c r="H1682" s="80" t="b">
        <v>0</v>
      </c>
      <c r="I1682" s="80" t="b">
        <v>0</v>
      </c>
      <c r="J1682" s="80" t="b">
        <v>0</v>
      </c>
      <c r="K1682" s="80" t="b">
        <v>0</v>
      </c>
      <c r="L1682" s="80" t="b">
        <v>0</v>
      </c>
    </row>
    <row r="1683" spans="1:12" ht="15">
      <c r="A1683" s="81" t="s">
        <v>2214</v>
      </c>
      <c r="B1683" s="80" t="s">
        <v>2220</v>
      </c>
      <c r="C1683" s="80">
        <v>5</v>
      </c>
      <c r="D1683" s="104">
        <v>0.005028561182273517</v>
      </c>
      <c r="E1683" s="104">
        <v>0.8151851725394619</v>
      </c>
      <c r="F1683" s="80" t="s">
        <v>2189</v>
      </c>
      <c r="G1683" s="80" t="b">
        <v>0</v>
      </c>
      <c r="H1683" s="80" t="b">
        <v>0</v>
      </c>
      <c r="I1683" s="80" t="b">
        <v>0</v>
      </c>
      <c r="J1683" s="80" t="b">
        <v>0</v>
      </c>
      <c r="K1683" s="80" t="b">
        <v>0</v>
      </c>
      <c r="L1683" s="80" t="b">
        <v>0</v>
      </c>
    </row>
    <row r="1684" spans="1:12" ht="15">
      <c r="A1684" s="81" t="s">
        <v>2220</v>
      </c>
      <c r="B1684" s="80" t="s">
        <v>2279</v>
      </c>
      <c r="C1684" s="80">
        <v>4</v>
      </c>
      <c r="D1684" s="104">
        <v>0.002290302208184389</v>
      </c>
      <c r="E1684" s="104">
        <v>1.234083206033368</v>
      </c>
      <c r="F1684" s="80" t="s">
        <v>2189</v>
      </c>
      <c r="G1684" s="80" t="b">
        <v>0</v>
      </c>
      <c r="H1684" s="80" t="b">
        <v>0</v>
      </c>
      <c r="I1684" s="80" t="b">
        <v>0</v>
      </c>
      <c r="J1684" s="80" t="b">
        <v>0</v>
      </c>
      <c r="K1684" s="80" t="b">
        <v>0</v>
      </c>
      <c r="L1684" s="80" t="b">
        <v>0</v>
      </c>
    </row>
    <row r="1685" spans="1:12" ht="15">
      <c r="A1685" s="81" t="s">
        <v>2274</v>
      </c>
      <c r="B1685" s="80" t="s">
        <v>2300</v>
      </c>
      <c r="C1685" s="80">
        <v>4</v>
      </c>
      <c r="D1685" s="104">
        <v>0.002290302208184389</v>
      </c>
      <c r="E1685" s="104">
        <v>2.1398790864012365</v>
      </c>
      <c r="F1685" s="80" t="s">
        <v>2189</v>
      </c>
      <c r="G1685" s="80" t="b">
        <v>0</v>
      </c>
      <c r="H1685" s="80" t="b">
        <v>0</v>
      </c>
      <c r="I1685" s="80" t="b">
        <v>0</v>
      </c>
      <c r="J1685" s="80" t="b">
        <v>0</v>
      </c>
      <c r="K1685" s="80" t="b">
        <v>0</v>
      </c>
      <c r="L1685" s="80" t="b">
        <v>0</v>
      </c>
    </row>
    <row r="1686" spans="1:12" ht="15">
      <c r="A1686" s="81" t="s">
        <v>2626</v>
      </c>
      <c r="B1686" s="80" t="s">
        <v>2324</v>
      </c>
      <c r="C1686" s="80">
        <v>4</v>
      </c>
      <c r="D1686" s="104">
        <v>0.004022848945818814</v>
      </c>
      <c r="E1686" s="104">
        <v>2.060697840353612</v>
      </c>
      <c r="F1686" s="80" t="s">
        <v>2189</v>
      </c>
      <c r="G1686" s="80" t="b">
        <v>0</v>
      </c>
      <c r="H1686" s="80" t="b">
        <v>0</v>
      </c>
      <c r="I1686" s="80" t="b">
        <v>0</v>
      </c>
      <c r="J1686" s="80" t="b">
        <v>0</v>
      </c>
      <c r="K1686" s="80" t="b">
        <v>0</v>
      </c>
      <c r="L1686" s="80" t="b">
        <v>0</v>
      </c>
    </row>
    <row r="1687" spans="1:12" ht="15">
      <c r="A1687" s="81" t="s">
        <v>2234</v>
      </c>
      <c r="B1687" s="80" t="s">
        <v>2226</v>
      </c>
      <c r="C1687" s="80">
        <v>3</v>
      </c>
      <c r="D1687" s="104">
        <v>0.0017177266561382919</v>
      </c>
      <c r="E1687" s="104">
        <v>2.2367890994092927</v>
      </c>
      <c r="F1687" s="80" t="s">
        <v>2189</v>
      </c>
      <c r="G1687" s="80" t="b">
        <v>0</v>
      </c>
      <c r="H1687" s="80" t="b">
        <v>0</v>
      </c>
      <c r="I1687" s="80" t="b">
        <v>0</v>
      </c>
      <c r="J1687" s="80" t="b">
        <v>0</v>
      </c>
      <c r="K1687" s="80" t="b">
        <v>0</v>
      </c>
      <c r="L1687" s="80" t="b">
        <v>0</v>
      </c>
    </row>
    <row r="1688" spans="1:12" ht="15">
      <c r="A1688" s="81" t="s">
        <v>2426</v>
      </c>
      <c r="B1688" s="80" t="s">
        <v>2383</v>
      </c>
      <c r="C1688" s="80">
        <v>3</v>
      </c>
      <c r="D1688" s="104">
        <v>0.00301713670936411</v>
      </c>
      <c r="E1688" s="104">
        <v>2.3617278360175926</v>
      </c>
      <c r="F1688" s="80" t="s">
        <v>2189</v>
      </c>
      <c r="G1688" s="80" t="b">
        <v>0</v>
      </c>
      <c r="H1688" s="80" t="b">
        <v>0</v>
      </c>
      <c r="I1688" s="80" t="b">
        <v>0</v>
      </c>
      <c r="J1688" s="80" t="b">
        <v>1</v>
      </c>
      <c r="K1688" s="80" t="b">
        <v>0</v>
      </c>
      <c r="L1688" s="80" t="b">
        <v>0</v>
      </c>
    </row>
    <row r="1689" spans="1:12" ht="15">
      <c r="A1689" s="81" t="s">
        <v>2243</v>
      </c>
      <c r="B1689" s="80" t="s">
        <v>2213</v>
      </c>
      <c r="C1689" s="80">
        <v>3</v>
      </c>
      <c r="D1689" s="104">
        <v>0.0017177266561382919</v>
      </c>
      <c r="E1689" s="104">
        <v>1.157607853361668</v>
      </c>
      <c r="F1689" s="80" t="s">
        <v>2189</v>
      </c>
      <c r="G1689" s="80" t="b">
        <v>0</v>
      </c>
      <c r="H1689" s="80" t="b">
        <v>0</v>
      </c>
      <c r="I1689" s="80" t="b">
        <v>0</v>
      </c>
      <c r="J1689" s="80" t="b">
        <v>0</v>
      </c>
      <c r="K1689" s="80" t="b">
        <v>0</v>
      </c>
      <c r="L1689" s="80" t="b">
        <v>0</v>
      </c>
    </row>
    <row r="1690" spans="1:12" ht="15">
      <c r="A1690" s="81" t="s">
        <v>2251</v>
      </c>
      <c r="B1690" s="80" t="s">
        <v>2349</v>
      </c>
      <c r="C1690" s="80">
        <v>2</v>
      </c>
      <c r="D1690" s="104">
        <v>0.002011424472909407</v>
      </c>
      <c r="E1690" s="104">
        <v>2.537819095073274</v>
      </c>
      <c r="F1690" s="80" t="s">
        <v>2189</v>
      </c>
      <c r="G1690" s="80" t="b">
        <v>0</v>
      </c>
      <c r="H1690" s="80" t="b">
        <v>0</v>
      </c>
      <c r="I1690" s="80" t="b">
        <v>0</v>
      </c>
      <c r="J1690" s="80" t="b">
        <v>0</v>
      </c>
      <c r="K1690" s="80" t="b">
        <v>0</v>
      </c>
      <c r="L1690" s="80" t="b">
        <v>0</v>
      </c>
    </row>
    <row r="1691" spans="1:12" ht="15">
      <c r="A1691" s="81" t="s">
        <v>2228</v>
      </c>
      <c r="B1691" s="80" t="s">
        <v>2219</v>
      </c>
      <c r="C1691" s="80">
        <v>2</v>
      </c>
      <c r="D1691" s="104">
        <v>0.002011424472909407</v>
      </c>
      <c r="E1691" s="104">
        <v>1.5835765856339492</v>
      </c>
      <c r="F1691" s="80" t="s">
        <v>2189</v>
      </c>
      <c r="G1691" s="80" t="b">
        <v>0</v>
      </c>
      <c r="H1691" s="80" t="b">
        <v>0</v>
      </c>
      <c r="I1691" s="80" t="b">
        <v>0</v>
      </c>
      <c r="J1691" s="80" t="b">
        <v>0</v>
      </c>
      <c r="K1691" s="80" t="b">
        <v>0</v>
      </c>
      <c r="L1691" s="80" t="b">
        <v>0</v>
      </c>
    </row>
    <row r="1692" spans="1:12" ht="15">
      <c r="A1692" s="81" t="s">
        <v>2282</v>
      </c>
      <c r="B1692" s="80" t="s">
        <v>2347</v>
      </c>
      <c r="C1692" s="80">
        <v>2</v>
      </c>
      <c r="D1692" s="104">
        <v>0.002011424472909407</v>
      </c>
      <c r="E1692" s="104">
        <v>2.361727836017593</v>
      </c>
      <c r="F1692" s="80" t="s">
        <v>2189</v>
      </c>
      <c r="G1692" s="80" t="b">
        <v>0</v>
      </c>
      <c r="H1692" s="80" t="b">
        <v>0</v>
      </c>
      <c r="I1692" s="80" t="b">
        <v>0</v>
      </c>
      <c r="J1692" s="80" t="b">
        <v>0</v>
      </c>
      <c r="K1692" s="80" t="b">
        <v>0</v>
      </c>
      <c r="L1692" s="80" t="b">
        <v>0</v>
      </c>
    </row>
    <row r="1693" spans="1:12" ht="15">
      <c r="A1693" s="81" t="s">
        <v>2336</v>
      </c>
      <c r="B1693" s="80" t="s">
        <v>2220</v>
      </c>
      <c r="C1693" s="80">
        <v>2</v>
      </c>
      <c r="D1693" s="104">
        <v>0.002011424472909407</v>
      </c>
      <c r="E1693" s="104">
        <v>1.0606978403536116</v>
      </c>
      <c r="F1693" s="80" t="s">
        <v>2189</v>
      </c>
      <c r="G1693" s="80" t="b">
        <v>1</v>
      </c>
      <c r="H1693" s="80" t="b">
        <v>0</v>
      </c>
      <c r="I1693" s="80" t="b">
        <v>0</v>
      </c>
      <c r="J1693" s="80" t="b">
        <v>0</v>
      </c>
      <c r="K1693" s="80" t="b">
        <v>0</v>
      </c>
      <c r="L1693" s="80" t="b">
        <v>0</v>
      </c>
    </row>
    <row r="1694" spans="1:12" ht="15">
      <c r="A1694" s="81" t="s">
        <v>2349</v>
      </c>
      <c r="B1694" s="80" t="s">
        <v>2376</v>
      </c>
      <c r="C1694" s="80">
        <v>2</v>
      </c>
      <c r="D1694" s="104">
        <v>0.002011424472909407</v>
      </c>
      <c r="E1694" s="104">
        <v>2.2367890994092927</v>
      </c>
      <c r="F1694" s="80" t="s">
        <v>2189</v>
      </c>
      <c r="G1694" s="80" t="b">
        <v>0</v>
      </c>
      <c r="H1694" s="80" t="b">
        <v>0</v>
      </c>
      <c r="I1694" s="80" t="b">
        <v>0</v>
      </c>
      <c r="J1694" s="80" t="b">
        <v>0</v>
      </c>
      <c r="K1694" s="80" t="b">
        <v>0</v>
      </c>
      <c r="L1694" s="80" t="b">
        <v>0</v>
      </c>
    </row>
    <row r="1695" spans="1:12" ht="15">
      <c r="A1695" s="81" t="s">
        <v>2304</v>
      </c>
      <c r="B1695" s="80" t="s">
        <v>2746</v>
      </c>
      <c r="C1695" s="80">
        <v>2</v>
      </c>
      <c r="D1695" s="104">
        <v>0.002011424472909407</v>
      </c>
      <c r="E1695" s="104">
        <v>2.361727836017593</v>
      </c>
      <c r="F1695" s="80" t="s">
        <v>2189</v>
      </c>
      <c r="G1695" s="80" t="b">
        <v>0</v>
      </c>
      <c r="H1695" s="80" t="b">
        <v>0</v>
      </c>
      <c r="I1695" s="80" t="b">
        <v>0</v>
      </c>
      <c r="J1695" s="80" t="b">
        <v>0</v>
      </c>
      <c r="K1695" s="80" t="b">
        <v>0</v>
      </c>
      <c r="L1695" s="80" t="b">
        <v>0</v>
      </c>
    </row>
    <row r="1696" spans="1:12" ht="15">
      <c r="A1696" s="81" t="s">
        <v>3319</v>
      </c>
      <c r="B1696" s="80" t="s">
        <v>2220</v>
      </c>
      <c r="C1696" s="80">
        <v>2</v>
      </c>
      <c r="D1696" s="104">
        <v>0.002011424472909407</v>
      </c>
      <c r="E1696" s="104">
        <v>1.4586378490256493</v>
      </c>
      <c r="F1696" s="80" t="s">
        <v>2189</v>
      </c>
      <c r="G1696" s="80" t="b">
        <v>0</v>
      </c>
      <c r="H1696" s="80" t="b">
        <v>0</v>
      </c>
      <c r="I1696" s="80" t="b">
        <v>0</v>
      </c>
      <c r="J1696" s="80" t="b">
        <v>0</v>
      </c>
      <c r="K1696" s="80" t="b">
        <v>0</v>
      </c>
      <c r="L1696" s="80" t="b">
        <v>0</v>
      </c>
    </row>
    <row r="1697" spans="1:12" ht="15">
      <c r="A1697" s="81" t="s">
        <v>2336</v>
      </c>
      <c r="B1697" s="80" t="s">
        <v>2309</v>
      </c>
      <c r="C1697" s="80">
        <v>2</v>
      </c>
      <c r="D1697" s="104">
        <v>0.002011424472909407</v>
      </c>
      <c r="E1697" s="104">
        <v>1.9637878273455553</v>
      </c>
      <c r="F1697" s="80" t="s">
        <v>2189</v>
      </c>
      <c r="G1697" s="80" t="b">
        <v>1</v>
      </c>
      <c r="H1697" s="80" t="b">
        <v>0</v>
      </c>
      <c r="I1697" s="80" t="b">
        <v>0</v>
      </c>
      <c r="J1697" s="80" t="b">
        <v>0</v>
      </c>
      <c r="K1697" s="80" t="b">
        <v>0</v>
      </c>
      <c r="L1697" s="80" t="b">
        <v>0</v>
      </c>
    </row>
    <row r="1698" spans="1:12" ht="15">
      <c r="A1698" s="81" t="s">
        <v>3227</v>
      </c>
      <c r="B1698" s="80" t="s">
        <v>2220</v>
      </c>
      <c r="C1698" s="80">
        <v>2</v>
      </c>
      <c r="D1698" s="104">
        <v>0.002011424472909407</v>
      </c>
      <c r="E1698" s="104">
        <v>1.4586378490256493</v>
      </c>
      <c r="F1698" s="80" t="s">
        <v>2189</v>
      </c>
      <c r="G1698" s="80" t="b">
        <v>0</v>
      </c>
      <c r="H1698" s="80" t="b">
        <v>0</v>
      </c>
      <c r="I1698" s="80" t="b">
        <v>0</v>
      </c>
      <c r="J1698" s="80" t="b">
        <v>0</v>
      </c>
      <c r="K1698" s="80" t="b">
        <v>0</v>
      </c>
      <c r="L1698" s="80" t="b">
        <v>0</v>
      </c>
    </row>
    <row r="1699" spans="1:12" ht="15">
      <c r="A1699" s="81" t="s">
        <v>2220</v>
      </c>
      <c r="B1699" s="80" t="s">
        <v>2243</v>
      </c>
      <c r="C1699" s="80">
        <v>2</v>
      </c>
      <c r="D1699" s="104">
        <v>0.002011424472909407</v>
      </c>
      <c r="E1699" s="104">
        <v>0.8750612633917001</v>
      </c>
      <c r="F1699" s="80" t="s">
        <v>2189</v>
      </c>
      <c r="G1699" s="80" t="b">
        <v>0</v>
      </c>
      <c r="H1699" s="80" t="b">
        <v>0</v>
      </c>
      <c r="I1699" s="80" t="b">
        <v>0</v>
      </c>
      <c r="J1699" s="80" t="b">
        <v>0</v>
      </c>
      <c r="K1699" s="80" t="b">
        <v>0</v>
      </c>
      <c r="L1699" s="80" t="b">
        <v>0</v>
      </c>
    </row>
    <row r="1700" spans="1:12" ht="15">
      <c r="A1700" s="81" t="s">
        <v>2309</v>
      </c>
      <c r="B1700" s="80" t="s">
        <v>3227</v>
      </c>
      <c r="C1700" s="80">
        <v>2</v>
      </c>
      <c r="D1700" s="104">
        <v>0.002011424472909407</v>
      </c>
      <c r="E1700" s="104">
        <v>2.361727836017593</v>
      </c>
      <c r="F1700" s="80" t="s">
        <v>2189</v>
      </c>
      <c r="G1700" s="80" t="b">
        <v>0</v>
      </c>
      <c r="H1700" s="80" t="b">
        <v>0</v>
      </c>
      <c r="I1700" s="80" t="b">
        <v>0</v>
      </c>
      <c r="J1700" s="80" t="b">
        <v>0</v>
      </c>
      <c r="K1700" s="80" t="b">
        <v>0</v>
      </c>
      <c r="L1700" s="80" t="b">
        <v>0</v>
      </c>
    </row>
    <row r="1701" spans="1:12" ht="15">
      <c r="A1701" s="81" t="s">
        <v>2324</v>
      </c>
      <c r="B1701" s="80" t="s">
        <v>3079</v>
      </c>
      <c r="C1701" s="80">
        <v>2</v>
      </c>
      <c r="D1701" s="104">
        <v>0.002011424472909407</v>
      </c>
      <c r="E1701" s="104">
        <v>2.060697840353612</v>
      </c>
      <c r="F1701" s="80" t="s">
        <v>2189</v>
      </c>
      <c r="G1701" s="80" t="b">
        <v>0</v>
      </c>
      <c r="H1701" s="80" t="b">
        <v>0</v>
      </c>
      <c r="I1701" s="80" t="b">
        <v>0</v>
      </c>
      <c r="J1701" s="80" t="b">
        <v>0</v>
      </c>
      <c r="K1701" s="80" t="b">
        <v>0</v>
      </c>
      <c r="L1701" s="80" t="b">
        <v>0</v>
      </c>
    </row>
    <row r="1702" spans="1:12" ht="15">
      <c r="A1702" s="81" t="s">
        <v>2214</v>
      </c>
      <c r="B1702" s="80" t="s">
        <v>2243</v>
      </c>
      <c r="C1702" s="80">
        <v>2</v>
      </c>
      <c r="D1702" s="104">
        <v>0.0011451511040921946</v>
      </c>
      <c r="E1702" s="104">
        <v>0.8943664185870867</v>
      </c>
      <c r="F1702" s="80" t="s">
        <v>2189</v>
      </c>
      <c r="G1702" s="80" t="b">
        <v>0</v>
      </c>
      <c r="H1702" s="80" t="b">
        <v>0</v>
      </c>
      <c r="I1702" s="80" t="b">
        <v>0</v>
      </c>
      <c r="J1702" s="80" t="b">
        <v>0</v>
      </c>
      <c r="K1702" s="80" t="b">
        <v>0</v>
      </c>
      <c r="L1702" s="80" t="b">
        <v>0</v>
      </c>
    </row>
    <row r="1703" spans="1:12" ht="15">
      <c r="A1703" s="81" t="s">
        <v>2219</v>
      </c>
      <c r="B1703" s="80" t="s">
        <v>2251</v>
      </c>
      <c r="C1703" s="80">
        <v>2</v>
      </c>
      <c r="D1703" s="104">
        <v>0.002011424472909407</v>
      </c>
      <c r="E1703" s="104">
        <v>1.8846065812979305</v>
      </c>
      <c r="F1703" s="80" t="s">
        <v>2189</v>
      </c>
      <c r="G1703" s="80" t="b">
        <v>0</v>
      </c>
      <c r="H1703" s="80" t="b">
        <v>0</v>
      </c>
      <c r="I1703" s="80" t="b">
        <v>0</v>
      </c>
      <c r="J1703" s="80" t="b">
        <v>0</v>
      </c>
      <c r="K1703" s="80" t="b">
        <v>0</v>
      </c>
      <c r="L1703" s="80" t="b">
        <v>0</v>
      </c>
    </row>
    <row r="1704" spans="1:12" ht="15">
      <c r="A1704" s="81" t="s">
        <v>2220</v>
      </c>
      <c r="B1704" s="80" t="s">
        <v>3319</v>
      </c>
      <c r="C1704" s="80">
        <v>2</v>
      </c>
      <c r="D1704" s="104">
        <v>0.002011424472909407</v>
      </c>
      <c r="E1704" s="104">
        <v>1.4771212547196624</v>
      </c>
      <c r="F1704" s="80" t="s">
        <v>2189</v>
      </c>
      <c r="G1704" s="80" t="b">
        <v>0</v>
      </c>
      <c r="H1704" s="80" t="b">
        <v>0</v>
      </c>
      <c r="I1704" s="80" t="b">
        <v>0</v>
      </c>
      <c r="J1704" s="80" t="b">
        <v>0</v>
      </c>
      <c r="K1704" s="80" t="b">
        <v>0</v>
      </c>
      <c r="L1704" s="80" t="b">
        <v>0</v>
      </c>
    </row>
    <row r="1705" spans="1:12" ht="15">
      <c r="A1705" s="81" t="s">
        <v>2250</v>
      </c>
      <c r="B1705" s="80" t="s">
        <v>2232</v>
      </c>
      <c r="C1705" s="80">
        <v>2</v>
      </c>
      <c r="D1705" s="104">
        <v>0.002011424472909407</v>
      </c>
      <c r="E1705" s="104">
        <v>1.6927210550590173</v>
      </c>
      <c r="F1705" s="80" t="s">
        <v>2189</v>
      </c>
      <c r="G1705" s="80" t="b">
        <v>0</v>
      </c>
      <c r="H1705" s="80" t="b">
        <v>0</v>
      </c>
      <c r="I1705" s="80" t="b">
        <v>0</v>
      </c>
      <c r="J1705" s="80" t="b">
        <v>0</v>
      </c>
      <c r="K1705" s="80" t="b">
        <v>0</v>
      </c>
      <c r="L1705" s="80" t="b">
        <v>0</v>
      </c>
    </row>
    <row r="1706" spans="1:12" ht="15">
      <c r="A1706" s="81" t="s">
        <v>2237</v>
      </c>
      <c r="B1706" s="80" t="s">
        <v>2308</v>
      </c>
      <c r="C1706" s="80">
        <v>2</v>
      </c>
      <c r="D1706" s="104">
        <v>0.002011424472909407</v>
      </c>
      <c r="E1706" s="104">
        <v>2.1856365769619117</v>
      </c>
      <c r="F1706" s="80" t="s">
        <v>2189</v>
      </c>
      <c r="G1706" s="80" t="b">
        <v>0</v>
      </c>
      <c r="H1706" s="80" t="b">
        <v>0</v>
      </c>
      <c r="I1706" s="80" t="b">
        <v>0</v>
      </c>
      <c r="J1706" s="80" t="b">
        <v>0</v>
      </c>
      <c r="K1706" s="80" t="b">
        <v>0</v>
      </c>
      <c r="L1706" s="80" t="b">
        <v>0</v>
      </c>
    </row>
    <row r="1707" spans="1:12" ht="15">
      <c r="A1707" s="81" t="s">
        <v>2279</v>
      </c>
      <c r="B1707" s="80" t="s">
        <v>2214</v>
      </c>
      <c r="C1707" s="80">
        <v>2</v>
      </c>
      <c r="D1707" s="104">
        <v>0.002011424472909407</v>
      </c>
      <c r="E1707" s="104">
        <v>0.9523583655647735</v>
      </c>
      <c r="F1707" s="80" t="s">
        <v>2189</v>
      </c>
      <c r="G1707" s="80" t="b">
        <v>0</v>
      </c>
      <c r="H1707" s="80" t="b">
        <v>0</v>
      </c>
      <c r="I1707" s="80" t="b">
        <v>0</v>
      </c>
      <c r="J1707" s="80" t="b">
        <v>0</v>
      </c>
      <c r="K1707" s="80" t="b">
        <v>0</v>
      </c>
      <c r="L1707" s="80" t="b">
        <v>0</v>
      </c>
    </row>
    <row r="1708" spans="1:12" ht="15">
      <c r="A1708" s="81" t="s">
        <v>2475</v>
      </c>
      <c r="B1708" s="80" t="s">
        <v>2223</v>
      </c>
      <c r="C1708" s="80">
        <v>2</v>
      </c>
      <c r="D1708" s="104">
        <v>0.0011451511040921946</v>
      </c>
      <c r="E1708" s="104">
        <v>2.060697840353612</v>
      </c>
      <c r="F1708" s="80" t="s">
        <v>2189</v>
      </c>
      <c r="G1708" s="80" t="b">
        <v>0</v>
      </c>
      <c r="H1708" s="80" t="b">
        <v>0</v>
      </c>
      <c r="I1708" s="80" t="b">
        <v>0</v>
      </c>
      <c r="J1708" s="80" t="b">
        <v>0</v>
      </c>
      <c r="K1708" s="80" t="b">
        <v>0</v>
      </c>
      <c r="L1708" s="80" t="b">
        <v>0</v>
      </c>
    </row>
    <row r="1709" spans="1:12" ht="15">
      <c r="A1709" s="81" t="s">
        <v>2231</v>
      </c>
      <c r="B1709" s="80" t="s">
        <v>2219</v>
      </c>
      <c r="C1709" s="80">
        <v>2</v>
      </c>
      <c r="D1709" s="104">
        <v>0.002011424472909407</v>
      </c>
      <c r="E1709" s="104">
        <v>1.5835765856339492</v>
      </c>
      <c r="F1709" s="80" t="s">
        <v>2189</v>
      </c>
      <c r="G1709" s="80" t="b">
        <v>0</v>
      </c>
      <c r="H1709" s="80" t="b">
        <v>0</v>
      </c>
      <c r="I1709" s="80" t="b">
        <v>0</v>
      </c>
      <c r="J1709" s="80" t="b">
        <v>0</v>
      </c>
      <c r="K1709" s="80" t="b">
        <v>0</v>
      </c>
      <c r="L1709" s="80" t="b">
        <v>0</v>
      </c>
    </row>
    <row r="1710" spans="1:12" ht="15">
      <c r="A1710" s="81" t="s">
        <v>2278</v>
      </c>
      <c r="B1710" s="80" t="s">
        <v>2219</v>
      </c>
      <c r="C1710" s="80">
        <v>2</v>
      </c>
      <c r="D1710" s="104">
        <v>0.002011424472909407</v>
      </c>
      <c r="E1710" s="104">
        <v>1.071693224655075</v>
      </c>
      <c r="F1710" s="80" t="s">
        <v>2189</v>
      </c>
      <c r="G1710" s="80" t="b">
        <v>0</v>
      </c>
      <c r="H1710" s="80" t="b">
        <v>0</v>
      </c>
      <c r="I1710" s="80" t="b">
        <v>0</v>
      </c>
      <c r="J1710" s="80" t="b">
        <v>0</v>
      </c>
      <c r="K1710" s="80" t="b">
        <v>0</v>
      </c>
      <c r="L1710" s="80" t="b">
        <v>0</v>
      </c>
    </row>
    <row r="1711" spans="1:12" ht="15">
      <c r="A1711" s="81" t="s">
        <v>2278</v>
      </c>
      <c r="B1711" s="80" t="s">
        <v>3060</v>
      </c>
      <c r="C1711" s="80">
        <v>2</v>
      </c>
      <c r="D1711" s="104">
        <v>0.0011451511040921946</v>
      </c>
      <c r="E1711" s="104">
        <v>1.7249057384304185</v>
      </c>
      <c r="F1711" s="80" t="s">
        <v>2189</v>
      </c>
      <c r="G1711" s="80" t="b">
        <v>0</v>
      </c>
      <c r="H1711" s="80" t="b">
        <v>0</v>
      </c>
      <c r="I1711" s="80" t="b">
        <v>0</v>
      </c>
      <c r="J1711" s="80" t="b">
        <v>0</v>
      </c>
      <c r="K1711" s="80" t="b">
        <v>0</v>
      </c>
      <c r="L1711" s="80" t="b">
        <v>0</v>
      </c>
    </row>
    <row r="1712" spans="1:12" ht="15">
      <c r="A1712" s="81" t="s">
        <v>2279</v>
      </c>
      <c r="B1712" s="80" t="s">
        <v>2213</v>
      </c>
      <c r="C1712" s="80">
        <v>2</v>
      </c>
      <c r="D1712" s="104">
        <v>0.0011451511040921946</v>
      </c>
      <c r="E1712" s="104">
        <v>1.0395085412836738</v>
      </c>
      <c r="F1712" s="80" t="s">
        <v>2189</v>
      </c>
      <c r="G1712" s="80" t="b">
        <v>0</v>
      </c>
      <c r="H1712" s="80" t="b">
        <v>0</v>
      </c>
      <c r="I1712" s="80" t="b">
        <v>0</v>
      </c>
      <c r="J1712" s="80" t="b">
        <v>0</v>
      </c>
      <c r="K1712" s="80" t="b">
        <v>0</v>
      </c>
      <c r="L1712" s="80" t="b">
        <v>0</v>
      </c>
    </row>
    <row r="1713" spans="1:12" ht="15">
      <c r="A1713" s="81" t="s">
        <v>3221</v>
      </c>
      <c r="B1713" s="80" t="s">
        <v>3356</v>
      </c>
      <c r="C1713" s="80">
        <v>2</v>
      </c>
      <c r="D1713" s="104">
        <v>0</v>
      </c>
      <c r="E1713" s="104">
        <v>0.8750612633917001</v>
      </c>
      <c r="F1713" s="80" t="s">
        <v>2190</v>
      </c>
      <c r="G1713" s="80" t="b">
        <v>0</v>
      </c>
      <c r="H1713" s="80" t="b">
        <v>0</v>
      </c>
      <c r="I1713" s="80" t="b">
        <v>0</v>
      </c>
      <c r="J1713" s="80" t="b">
        <v>0</v>
      </c>
      <c r="K1713" s="80" t="b">
        <v>0</v>
      </c>
      <c r="L1713" s="80" t="b">
        <v>0</v>
      </c>
    </row>
    <row r="1714" spans="1:12" ht="15">
      <c r="A1714" s="81" t="s">
        <v>2694</v>
      </c>
      <c r="B1714" s="80" t="s">
        <v>2745</v>
      </c>
      <c r="C1714" s="80">
        <v>2</v>
      </c>
      <c r="D1714" s="104">
        <v>0.0037164196995553233</v>
      </c>
      <c r="E1714" s="104">
        <v>1.9030899869919435</v>
      </c>
      <c r="F1714" s="80" t="s">
        <v>2191</v>
      </c>
      <c r="G1714" s="80" t="b">
        <v>0</v>
      </c>
      <c r="H1714" s="80" t="b">
        <v>0</v>
      </c>
      <c r="I1714" s="80" t="b">
        <v>0</v>
      </c>
      <c r="J1714" s="80" t="b">
        <v>0</v>
      </c>
      <c r="K1714" s="80" t="b">
        <v>0</v>
      </c>
      <c r="L1714" s="80" t="b">
        <v>0</v>
      </c>
    </row>
    <row r="1715" spans="1:12" ht="15">
      <c r="A1715" s="81" t="s">
        <v>2315</v>
      </c>
      <c r="B1715" s="80" t="s">
        <v>2302</v>
      </c>
      <c r="C1715" s="80">
        <v>2</v>
      </c>
      <c r="D1715" s="104">
        <v>0</v>
      </c>
      <c r="E1715" s="104">
        <v>1.9030899869919435</v>
      </c>
      <c r="F1715" s="80" t="s">
        <v>2191</v>
      </c>
      <c r="G1715" s="80" t="b">
        <v>0</v>
      </c>
      <c r="H1715" s="80" t="b">
        <v>0</v>
      </c>
      <c r="I1715" s="80" t="b">
        <v>0</v>
      </c>
      <c r="J1715" s="80" t="b">
        <v>0</v>
      </c>
      <c r="K1715" s="80" t="b">
        <v>0</v>
      </c>
      <c r="L1715" s="80" t="b">
        <v>0</v>
      </c>
    </row>
    <row r="1716" spans="1:12" ht="15">
      <c r="A1716" s="81" t="s">
        <v>2213</v>
      </c>
      <c r="B1716" s="80" t="s">
        <v>2214</v>
      </c>
      <c r="C1716" s="80">
        <v>2</v>
      </c>
      <c r="D1716" s="104">
        <v>0.0037164196995553233</v>
      </c>
      <c r="E1716" s="104">
        <v>1.359021942641668</v>
      </c>
      <c r="F1716" s="80" t="s">
        <v>2191</v>
      </c>
      <c r="G1716" s="80" t="b">
        <v>0</v>
      </c>
      <c r="H1716" s="80" t="b">
        <v>0</v>
      </c>
      <c r="I1716" s="80" t="b">
        <v>0</v>
      </c>
      <c r="J1716" s="80" t="b">
        <v>0</v>
      </c>
      <c r="K1716" s="80" t="b">
        <v>0</v>
      </c>
      <c r="L1716" s="80" t="b">
        <v>0</v>
      </c>
    </row>
    <row r="1717" spans="1:12" ht="15">
      <c r="A1717" s="81" t="s">
        <v>3261</v>
      </c>
      <c r="B1717" s="80" t="s">
        <v>3006</v>
      </c>
      <c r="C1717" s="80">
        <v>2</v>
      </c>
      <c r="D1717" s="104">
        <v>0</v>
      </c>
      <c r="E1717" s="104">
        <v>1.9030899869919435</v>
      </c>
      <c r="F1717" s="80" t="s">
        <v>2191</v>
      </c>
      <c r="G1717" s="80" t="b">
        <v>0</v>
      </c>
      <c r="H1717" s="80" t="b">
        <v>0</v>
      </c>
      <c r="I1717" s="80" t="b">
        <v>0</v>
      </c>
      <c r="J1717" s="80" t="b">
        <v>0</v>
      </c>
      <c r="K1717" s="80" t="b">
        <v>0</v>
      </c>
      <c r="L1717" s="80" t="b">
        <v>0</v>
      </c>
    </row>
    <row r="1718" spans="1:12" ht="15">
      <c r="A1718" s="81" t="s">
        <v>3030</v>
      </c>
      <c r="B1718" s="80" t="s">
        <v>2935</v>
      </c>
      <c r="C1718" s="80">
        <v>2</v>
      </c>
      <c r="D1718" s="104">
        <v>0.0037164196995553233</v>
      </c>
      <c r="E1718" s="104">
        <v>1.9030899869919435</v>
      </c>
      <c r="F1718" s="80" t="s">
        <v>2191</v>
      </c>
      <c r="G1718" s="80" t="b">
        <v>0</v>
      </c>
      <c r="H1718" s="80" t="b">
        <v>0</v>
      </c>
      <c r="I1718" s="80" t="b">
        <v>0</v>
      </c>
      <c r="J1718" s="80" t="b">
        <v>0</v>
      </c>
      <c r="K1718" s="80" t="b">
        <v>0</v>
      </c>
      <c r="L1718"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2024-01-12T20:15:33Z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